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https://registraduriaco-my.sharepoint.com/personal/ollondonop_registraduria_gov_co/Documents/Mecanismos de participación ciudadana/"/>
    </mc:Choice>
  </mc:AlternateContent>
  <xr:revisionPtr revIDLastSave="2" documentId="13_ncr:1_{EEC816DB-0943-403A-AA7B-26AD2880A5A3}" xr6:coauthVersionLast="47" xr6:coauthVersionMax="47" xr10:uidLastSave="{5C0A75E5-7550-D34B-9F23-109F9C68037C}"/>
  <bookViews>
    <workbookView xWindow="0" yWindow="0" windowWidth="28800" windowHeight="18000" activeTab="1" xr2:uid="{00000000-000D-0000-FFFF-FFFF00000000}"/>
  </bookViews>
  <sheets>
    <sheet name="MECANISMOS" sheetId="1" state="hidden" r:id="rId1"/>
    <sheet name="HISTÓRICO" sheetId="2" r:id="rId2"/>
  </sheets>
  <definedNames>
    <definedName name="_xlnm._FilterDatabase" localSheetId="1" hidden="1">HISTÓRICO!$A$1:$S$70</definedName>
    <definedName name="_xlnm._FilterDatabase" localSheetId="0">MECANISMOS!$A$3:$S$37</definedName>
    <definedName name="_xlnm.Print_Area" localSheetId="1">HISTÓRICO!$A$1:$K$70</definedName>
    <definedName name="_xlnm.Print_Titles" localSheetId="1">HISTÓRICO!$1:$1</definedName>
    <definedName name="_xlnm.Print_Titles" localSheetId="0">MECANISMOS!$1:$3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2" l="1"/>
  <c r="L18" i="2" s="1"/>
  <c r="J18" i="2"/>
  <c r="G18" i="2" l="1"/>
  <c r="M18" i="2"/>
  <c r="N18" i="2" s="1"/>
  <c r="J2" i="2"/>
  <c r="J3" i="2"/>
  <c r="K2" i="2"/>
  <c r="K3" i="2"/>
  <c r="L3" i="2" s="1"/>
  <c r="G3" i="2" l="1"/>
  <c r="M3" i="2"/>
  <c r="N3" i="2" s="1"/>
  <c r="G2" i="2"/>
  <c r="L2" i="2"/>
  <c r="M2" i="2"/>
  <c r="N2" i="2" s="1"/>
  <c r="K4" i="2"/>
  <c r="K5" i="2"/>
  <c r="K6" i="2"/>
  <c r="K7" i="2"/>
  <c r="L7" i="2" s="1"/>
  <c r="K8" i="2"/>
  <c r="J4" i="2"/>
  <c r="J5" i="2"/>
  <c r="J6" i="2"/>
  <c r="J7" i="2"/>
  <c r="J8" i="2"/>
  <c r="G5" i="2" l="1"/>
  <c r="L6" i="2"/>
  <c r="G6" i="2"/>
  <c r="G4" i="2"/>
  <c r="M7" i="2"/>
  <c r="N7" i="2" s="1"/>
  <c r="L8" i="2"/>
  <c r="G8" i="2"/>
  <c r="G7" i="2"/>
  <c r="L4" i="2"/>
  <c r="M4" i="2"/>
  <c r="N4" i="2" s="1"/>
  <c r="M5" i="2"/>
  <c r="N5" i="2" s="1"/>
  <c r="L5" i="2"/>
  <c r="M6" i="2"/>
  <c r="N6" i="2" s="1"/>
  <c r="M8" i="2"/>
  <c r="N8" i="2" s="1"/>
  <c r="K9" i="2"/>
  <c r="J9" i="2"/>
  <c r="G9" i="2" l="1"/>
  <c r="M9" i="2"/>
  <c r="N9" i="2" s="1"/>
  <c r="L9" i="2"/>
  <c r="K11" i="2"/>
  <c r="J11" i="2"/>
  <c r="G11" i="2" l="1"/>
  <c r="L11" i="2"/>
  <c r="M11" i="2"/>
  <c r="N11" i="2" s="1"/>
  <c r="J20" i="2"/>
  <c r="J19" i="2"/>
  <c r="J17" i="2"/>
  <c r="J16" i="2"/>
  <c r="J15" i="2"/>
  <c r="J14" i="2"/>
  <c r="J13" i="2"/>
  <c r="J12" i="2"/>
  <c r="J10" i="2"/>
  <c r="J21" i="2"/>
  <c r="J45" i="2"/>
  <c r="G45" i="2" s="1"/>
  <c r="J46" i="2"/>
  <c r="J47" i="2"/>
  <c r="G47" i="2" s="1"/>
  <c r="J48" i="2"/>
  <c r="G48" i="2" s="1"/>
  <c r="J49" i="2"/>
  <c r="J50" i="2"/>
  <c r="J51" i="2"/>
  <c r="G51" i="2" s="1"/>
  <c r="J52" i="2"/>
  <c r="G52" i="2" s="1"/>
  <c r="J53" i="2"/>
  <c r="J54" i="2"/>
  <c r="G54" i="2" s="1"/>
  <c r="J55" i="2"/>
  <c r="G55" i="2" s="1"/>
  <c r="J56" i="2"/>
  <c r="G56" i="2" s="1"/>
  <c r="J57" i="2"/>
  <c r="G57" i="2" s="1"/>
  <c r="J58" i="2"/>
  <c r="G58" i="2" s="1"/>
  <c r="J59" i="2"/>
  <c r="G59" i="2" s="1"/>
  <c r="J60" i="2"/>
  <c r="G60" i="2" s="1"/>
  <c r="J61" i="2"/>
  <c r="G61" i="2" s="1"/>
  <c r="J62" i="2"/>
  <c r="G62" i="2" s="1"/>
  <c r="J63" i="2"/>
  <c r="G63" i="2" s="1"/>
  <c r="J64" i="2"/>
  <c r="G64" i="2" s="1"/>
  <c r="J65" i="2"/>
  <c r="G65" i="2" s="1"/>
  <c r="J66" i="2"/>
  <c r="G66" i="2" s="1"/>
  <c r="J67" i="2"/>
  <c r="G67" i="2" s="1"/>
  <c r="J68" i="2"/>
  <c r="G68" i="2" s="1"/>
  <c r="J69" i="2"/>
  <c r="G69" i="2" s="1"/>
  <c r="J70" i="2"/>
  <c r="G70" i="2" s="1"/>
  <c r="K13" i="2" l="1"/>
  <c r="G13" i="2" s="1"/>
  <c r="K10" i="2"/>
  <c r="G10" i="2" s="1"/>
  <c r="M10" i="2" l="1"/>
  <c r="N10" i="2" s="1"/>
  <c r="M13" i="2"/>
  <c r="N13" i="2" s="1"/>
  <c r="L13" i="2"/>
  <c r="L10" i="2"/>
  <c r="K12" i="2"/>
  <c r="G12" i="2" s="1"/>
  <c r="M12" i="2" l="1"/>
  <c r="N12" i="2" s="1"/>
  <c r="L12" i="2"/>
  <c r="M59" i="2"/>
  <c r="N59" i="2" s="1"/>
  <c r="M60" i="2"/>
  <c r="N60" i="2" s="1"/>
  <c r="M61" i="2"/>
  <c r="N61" i="2" s="1"/>
  <c r="M62" i="2"/>
  <c r="N62" i="2" s="1"/>
  <c r="M63" i="2"/>
  <c r="N63" i="2" s="1"/>
  <c r="M64" i="2"/>
  <c r="N64" i="2" s="1"/>
  <c r="M65" i="2"/>
  <c r="N65" i="2" s="1"/>
  <c r="M66" i="2"/>
  <c r="N66" i="2" s="1"/>
  <c r="M67" i="2"/>
  <c r="N67" i="2" s="1"/>
  <c r="M68" i="2"/>
  <c r="N68" i="2" s="1"/>
  <c r="M69" i="2"/>
  <c r="N69" i="2" s="1"/>
  <c r="M70" i="2"/>
  <c r="N70" i="2" s="1"/>
  <c r="M58" i="2"/>
  <c r="N58" i="2" s="1"/>
  <c r="M45" i="2"/>
  <c r="N45" i="2" s="1"/>
  <c r="M47" i="2"/>
  <c r="N47" i="2" s="1"/>
  <c r="M48" i="2"/>
  <c r="N48" i="2" s="1"/>
  <c r="M50" i="2"/>
  <c r="N50" i="2" s="1"/>
  <c r="M51" i="2"/>
  <c r="N51" i="2" s="1"/>
  <c r="M52" i="2"/>
  <c r="N52" i="2" s="1"/>
  <c r="M54" i="2"/>
  <c r="N54" i="2" s="1"/>
  <c r="M55" i="2"/>
  <c r="N55" i="2" s="1"/>
  <c r="L45" i="2"/>
  <c r="L47" i="2"/>
  <c r="L48" i="2"/>
  <c r="L50" i="2"/>
  <c r="L51" i="2"/>
  <c r="L52" i="2"/>
  <c r="L54" i="2"/>
  <c r="L55" i="2"/>
  <c r="L58" i="2"/>
  <c r="L59" i="2"/>
  <c r="L60" i="2"/>
  <c r="L61" i="2"/>
  <c r="L62" i="2"/>
  <c r="L63" i="2"/>
  <c r="L64" i="2"/>
  <c r="L65" i="2"/>
  <c r="L66" i="2"/>
  <c r="L67" i="2"/>
  <c r="L68" i="2"/>
  <c r="L69" i="2"/>
  <c r="L70" i="2"/>
  <c r="K16" i="2" l="1"/>
  <c r="G16" i="2" s="1"/>
  <c r="M16" i="2" l="1"/>
  <c r="N16" i="2" s="1"/>
  <c r="L16" i="2"/>
  <c r="K14" i="2"/>
  <c r="G14" i="2" s="1"/>
  <c r="K15" i="2"/>
  <c r="G15" i="2" s="1"/>
  <c r="K17" i="2"/>
  <c r="G17" i="2" s="1"/>
  <c r="M17" i="2" l="1"/>
  <c r="N17" i="2" s="1"/>
  <c r="L17" i="2"/>
  <c r="M15" i="2"/>
  <c r="N15" i="2" s="1"/>
  <c r="L15" i="2"/>
  <c r="L14" i="2"/>
  <c r="M14" i="2"/>
  <c r="N14" i="2" s="1"/>
  <c r="K19" i="2"/>
  <c r="G19" i="2" s="1"/>
  <c r="K20" i="2"/>
  <c r="G20" i="2" s="1"/>
  <c r="K21" i="2"/>
  <c r="G21" i="2" s="1"/>
  <c r="L21" i="2" l="1"/>
  <c r="M21" i="2"/>
  <c r="N21" i="2" s="1"/>
  <c r="M20" i="2"/>
  <c r="N20" i="2" s="1"/>
  <c r="L20" i="2"/>
  <c r="M19" i="2"/>
  <c r="N19" i="2" s="1"/>
  <c r="L19" i="2"/>
  <c r="G50" i="2"/>
  <c r="K53" i="2"/>
  <c r="G53" i="2" s="1"/>
  <c r="K49" i="2"/>
  <c r="M49" i="2" l="1"/>
  <c r="N49" i="2" s="1"/>
  <c r="L49" i="2"/>
  <c r="L53" i="2"/>
  <c r="M53" i="2"/>
  <c r="N53" i="2" s="1"/>
  <c r="I38" i="2"/>
  <c r="J38" i="2" s="1"/>
  <c r="K38" i="2"/>
  <c r="G38" i="2" l="1"/>
  <c r="M38" i="2"/>
  <c r="N38" i="2" s="1"/>
  <c r="L38" i="2"/>
  <c r="I37" i="2"/>
  <c r="J37" i="2" s="1"/>
  <c r="K37" i="2"/>
  <c r="G37" i="2" l="1"/>
  <c r="L37" i="2"/>
  <c r="M37" i="2"/>
  <c r="N37" i="2" s="1"/>
  <c r="I44" i="2" l="1"/>
  <c r="J44" i="2" s="1"/>
  <c r="I43" i="2"/>
  <c r="J43" i="2" s="1"/>
  <c r="I42" i="2"/>
  <c r="J42" i="2" s="1"/>
  <c r="I41" i="2"/>
  <c r="J41" i="2" s="1"/>
  <c r="I40" i="2"/>
  <c r="J40" i="2" s="1"/>
  <c r="I39" i="2"/>
  <c r="J39" i="2" s="1"/>
  <c r="I36" i="2"/>
  <c r="J36" i="2" s="1"/>
  <c r="I35" i="2"/>
  <c r="J35" i="2" s="1"/>
  <c r="I34" i="2"/>
  <c r="J34" i="2" s="1"/>
  <c r="I33" i="2"/>
  <c r="J33" i="2" s="1"/>
  <c r="I29" i="2"/>
  <c r="J29" i="2" s="1"/>
  <c r="I32" i="2"/>
  <c r="J32" i="2" s="1"/>
  <c r="I31" i="2"/>
  <c r="J31" i="2" s="1"/>
  <c r="I30" i="2"/>
  <c r="J30" i="2" s="1"/>
  <c r="I28" i="2"/>
  <c r="J28" i="2" s="1"/>
  <c r="I27" i="2"/>
  <c r="J27" i="2" s="1"/>
  <c r="I26" i="2"/>
  <c r="J26" i="2" s="1"/>
  <c r="I25" i="2"/>
  <c r="J25" i="2" s="1"/>
  <c r="I24" i="2"/>
  <c r="J24" i="2" s="1"/>
  <c r="I23" i="2"/>
  <c r="J23" i="2" s="1"/>
  <c r="I22" i="2"/>
  <c r="J22" i="2" s="1"/>
  <c r="K23" i="2"/>
  <c r="K24" i="2"/>
  <c r="K25" i="2"/>
  <c r="K26" i="2"/>
  <c r="K27" i="2"/>
  <c r="K28" i="2"/>
  <c r="K30" i="2"/>
  <c r="G30" i="2" s="1"/>
  <c r="K31" i="2"/>
  <c r="K32" i="2"/>
  <c r="K29" i="2"/>
  <c r="K33" i="2"/>
  <c r="K34" i="2"/>
  <c r="G34" i="2" s="1"/>
  <c r="K35" i="2"/>
  <c r="K36" i="2"/>
  <c r="K39" i="2"/>
  <c r="G39" i="2" s="1"/>
  <c r="K40" i="2"/>
  <c r="G40" i="2" s="1"/>
  <c r="K41" i="2"/>
  <c r="K42" i="2"/>
  <c r="K43" i="2"/>
  <c r="K44" i="2"/>
  <c r="G44" i="2" s="1"/>
  <c r="K22" i="2"/>
  <c r="G41" i="2" l="1"/>
  <c r="G42" i="2"/>
  <c r="G29" i="2"/>
  <c r="G24" i="2"/>
  <c r="G22" i="2"/>
  <c r="G33" i="2"/>
  <c r="G26" i="2"/>
  <c r="G25" i="2"/>
  <c r="G32" i="2"/>
  <c r="G31" i="2"/>
  <c r="G23" i="2"/>
  <c r="G36" i="2"/>
  <c r="G28" i="2"/>
  <c r="G35" i="2"/>
  <c r="G27" i="2"/>
  <c r="M28" i="2"/>
  <c r="N28" i="2" s="1"/>
  <c r="L28" i="2"/>
  <c r="M39" i="2"/>
  <c r="N39" i="2" s="1"/>
  <c r="L39" i="2"/>
  <c r="M30" i="2"/>
  <c r="N30" i="2" s="1"/>
  <c r="L30" i="2"/>
  <c r="M35" i="2"/>
  <c r="N35" i="2" s="1"/>
  <c r="L35" i="2"/>
  <c r="L27" i="2"/>
  <c r="M27" i="2"/>
  <c r="N27" i="2" s="1"/>
  <c r="M44" i="2"/>
  <c r="N44" i="2" s="1"/>
  <c r="L44" i="2"/>
  <c r="M34" i="2"/>
  <c r="N34" i="2" s="1"/>
  <c r="L34" i="2"/>
  <c r="M26" i="2"/>
  <c r="N26" i="2" s="1"/>
  <c r="L26" i="2"/>
  <c r="M33" i="2"/>
  <c r="N33" i="2" s="1"/>
  <c r="L33" i="2"/>
  <c r="L43" i="2"/>
  <c r="M43" i="2"/>
  <c r="N43" i="2" s="1"/>
  <c r="M25" i="2"/>
  <c r="N25" i="2" s="1"/>
  <c r="L25" i="2"/>
  <c r="L24" i="2"/>
  <c r="M24" i="2"/>
  <c r="N24" i="2" s="1"/>
  <c r="L36" i="2"/>
  <c r="M36" i="2"/>
  <c r="N36" i="2" s="1"/>
  <c r="M22" i="2"/>
  <c r="N22" i="2" s="1"/>
  <c r="L22" i="2"/>
  <c r="M42" i="2"/>
  <c r="N42" i="2" s="1"/>
  <c r="L42" i="2"/>
  <c r="L29" i="2"/>
  <c r="M29" i="2"/>
  <c r="N29" i="2" s="1"/>
  <c r="M41" i="2"/>
  <c r="N41" i="2" s="1"/>
  <c r="L41" i="2"/>
  <c r="L32" i="2"/>
  <c r="M32" i="2"/>
  <c r="N32" i="2" s="1"/>
  <c r="M23" i="2"/>
  <c r="N23" i="2" s="1"/>
  <c r="L23" i="2"/>
  <c r="M40" i="2"/>
  <c r="N40" i="2" s="1"/>
  <c r="L40" i="2"/>
  <c r="M31" i="2"/>
  <c r="N31" i="2" s="1"/>
  <c r="L31" i="2"/>
  <c r="G43" i="2"/>
  <c r="K46" i="2"/>
  <c r="G46" i="2" s="1"/>
  <c r="M46" i="2" l="1"/>
  <c r="N46" i="2" s="1"/>
  <c r="L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Eduardo Munar Florez</author>
  </authors>
  <commentList>
    <comment ref="D3" authorId="0" shapeId="0" xr:uid="{00000000-0006-0000-0000-000001000000}">
      <text>
        <r>
          <rPr>
            <b/>
            <sz val="9"/>
            <color indexed="81"/>
            <rFont val="Tahoma"/>
            <family val="2"/>
          </rPr>
          <t>SI TIENEN ALGUN NUMERO CON QUE SE RADICO EN LA RESPECTIVA SEDE</t>
        </r>
      </text>
    </comment>
    <comment ref="E3" authorId="0" shapeId="0" xr:uid="{00000000-0006-0000-0000-000002000000}">
      <text>
        <r>
          <rPr>
            <b/>
            <sz val="9"/>
            <color indexed="81"/>
            <rFont val="Tahoma"/>
            <family val="2"/>
          </rPr>
          <t>LOS MECANISMOS SON:
REFERENDO
CABILDO ABIERTO
CONSULTA POPULAR
REVOCATORIA
PLEBISCITO
INICIATIVA LEGISLATIVA O NORMATIVA</t>
        </r>
      </text>
    </comment>
    <comment ref="F3" authorId="0" shapeId="0" xr:uid="{00000000-0006-0000-0000-000003000000}">
      <text>
        <r>
          <rPr>
            <b/>
            <sz val="9"/>
            <color indexed="81"/>
            <rFont val="Tahoma"/>
            <family val="2"/>
          </rPr>
          <t>ESCRIBIR SI ES DEL ORDEN NACIONAL, DEPARTAMENTAL, MUNICIPAL, ETC</t>
        </r>
        <r>
          <rPr>
            <sz val="9"/>
            <color indexed="81"/>
            <rFont val="Tahoma"/>
            <family val="2"/>
          </rPr>
          <t xml:space="preserve">
</t>
        </r>
      </text>
    </comment>
    <comment ref="G3" authorId="0" shapeId="0" xr:uid="{00000000-0006-0000-0000-000004000000}">
      <text>
        <r>
          <rPr>
            <b/>
            <sz val="9"/>
            <color indexed="81"/>
            <rFont val="Tahoma"/>
            <family val="2"/>
          </rPr>
          <t>SI LLEGO A CONVOCARSE, CUANDO FUE LA FECHA</t>
        </r>
        <r>
          <rPr>
            <sz val="9"/>
            <color indexed="81"/>
            <rFont val="Tahoma"/>
            <family val="2"/>
          </rPr>
          <t xml:space="preserve">
</t>
        </r>
      </text>
    </comment>
    <comment ref="J3" authorId="0" shapeId="0" xr:uid="{00000000-0006-0000-0000-000005000000}">
      <text>
        <r>
          <rPr>
            <b/>
            <sz val="9"/>
            <color indexed="81"/>
            <rFont val="Tahoma"/>
            <family val="2"/>
          </rPr>
          <t>BREVE EXPLICACIÓN DEL MECANISMO SI LO HAY</t>
        </r>
      </text>
    </comment>
    <comment ref="M3" authorId="0" shapeId="0" xr:uid="{00000000-0006-0000-0000-000006000000}">
      <text>
        <r>
          <rPr>
            <b/>
            <sz val="9"/>
            <color indexed="81"/>
            <rFont val="Tahoma"/>
            <family val="2"/>
          </rPr>
          <t>EN QUE ESTADO QUEDO
APROBADO
RECHAZADO
NO SE REALIZO
NO PASO POR FIRMAS</t>
        </r>
      </text>
    </comment>
    <comment ref="N3" authorId="0" shapeId="0" xr:uid="{00000000-0006-0000-0000-000007000000}">
      <text>
        <r>
          <rPr>
            <b/>
            <sz val="9"/>
            <color indexed="81"/>
            <rFont val="Tahoma"/>
            <family val="2"/>
          </rPr>
          <t>DATO QUE EN SU MOMENTO APORTO CENSO ELECTORAL</t>
        </r>
      </text>
    </comment>
  </commentList>
</comments>
</file>

<file path=xl/sharedStrings.xml><?xml version="1.0" encoding="utf-8"?>
<sst xmlns="http://schemas.openxmlformats.org/spreadsheetml/2006/main" count="921" uniqueCount="269">
  <si>
    <t>Ord.</t>
  </si>
  <si>
    <t>DEPARTAMENTO</t>
  </si>
  <si>
    <t>MUNICIPIO</t>
  </si>
  <si>
    <t>RADICACIÓN</t>
  </si>
  <si>
    <t>NOMBRE DEL MECANISMO</t>
  </si>
  <si>
    <t>DEL ORDEN</t>
  </si>
  <si>
    <t>OBJETO</t>
  </si>
  <si>
    <t>VOCERO COMITÉ</t>
  </si>
  <si>
    <t>MIEMBROS DEL COMITÉ PROMOTOR</t>
  </si>
  <si>
    <t>ESTADO</t>
  </si>
  <si>
    <t>CENSO CERTIFICADO</t>
  </si>
  <si>
    <t xml:space="preserve">FECHA DE ENTREGA OFICIAL DEL FORMULARIO </t>
  </si>
  <si>
    <r>
      <t xml:space="preserve">MÍNIMO DE FIRMAS REQUERIDO
</t>
    </r>
    <r>
      <rPr>
        <b/>
        <i/>
        <sz val="10"/>
        <rFont val="Calibri"/>
        <family val="2"/>
        <scheme val="minor"/>
      </rPr>
      <t>(Art. 9 - Ley 1757 de 2015)</t>
    </r>
  </si>
  <si>
    <t>CANTIDAD DE FIRMAS APORTADAS</t>
  </si>
  <si>
    <t>CANTIDAD DE FIRMAS APROBADAS Y RECHAZADAS</t>
  </si>
  <si>
    <r>
      <t xml:space="preserve">FECHA LÍMITE DE RECOLECCIÓN DE FIRMAS
</t>
    </r>
    <r>
      <rPr>
        <b/>
        <i/>
        <sz val="10"/>
        <rFont val="Calibri"/>
        <family val="2"/>
        <scheme val="minor"/>
      </rPr>
      <t>(Art. 18 - Ley 134 de 1994, Art. 10 - Ley 1757 de 2015)</t>
    </r>
  </si>
  <si>
    <t>FECHA DE REALIZACION DEL MECANISMO</t>
  </si>
  <si>
    <t>VOTACION OBTENIDA</t>
  </si>
  <si>
    <t>OBSERVACIONES</t>
  </si>
  <si>
    <t>ANTIOQUIA</t>
  </si>
  <si>
    <t>ANGOSTURA</t>
  </si>
  <si>
    <t>REVOCATORIA DEL MANDATO</t>
  </si>
  <si>
    <t>MUNICIPAL</t>
  </si>
  <si>
    <t>Sin datos</t>
  </si>
  <si>
    <t>GLORIA PATRICIA MEJIA HENAO</t>
  </si>
  <si>
    <t>GLORIA PATRICIA MEJIA HENAO, JEISSON ALEJANDRO CASTAÑO PIEDRAHITA, JHON FREDY MADRID GOMEZ, HERNAN DARIO MORA LOPERA, OMAR FLOREZ, MARGARITA MARIA SOTO</t>
  </si>
  <si>
    <t>FINALIZADA</t>
  </si>
  <si>
    <t>NO PROSPERÓ</t>
  </si>
  <si>
    <t>BELLO</t>
  </si>
  <si>
    <t>JUAN FELIPE RESTREPO TAMAYO</t>
  </si>
  <si>
    <t>JUAN FELIPE RESTREPO TAMAYO, JAIME ALFONSO HIDALGO SALAZAR; WILLIAM GUTIERREZ HERRERA; LEON FREDY MUÑOZ LOPERA; ANDRES FELIPE MONTOYA CARMONA</t>
  </si>
  <si>
    <t>POR EL SI 11.256 - POR EL NO 1.065 - NO PROSPERÓ POR NO ALCANZAR UMBRAL</t>
  </si>
  <si>
    <t>BOLÍVAR</t>
  </si>
  <si>
    <t>SONSON</t>
  </si>
  <si>
    <t>REVOCATORIO MANDATO</t>
  </si>
  <si>
    <t>OSCAR CASTRILLON RAMIREZ</t>
  </si>
  <si>
    <t>OSCAR CASTRILON RAMIREZ - JAIME ALBERTO RUIZ CORREA - ALCIDES GIRALDO - OMAR DARIO CEBALLOS PASTOR</t>
  </si>
  <si>
    <t>REALIZADA</t>
  </si>
  <si>
    <t>NO PROPERÓ</t>
  </si>
  <si>
    <t>ATLÁNTICO</t>
  </si>
  <si>
    <t xml:space="preserve"> SABANALARGA</t>
  </si>
  <si>
    <t>REVOCAR EL MANDATO DEL ALCALDE Juan José Acuña Colpas</t>
  </si>
  <si>
    <t>REALIZADA NO PROSPERÓ</t>
  </si>
  <si>
    <t>BARANOA</t>
  </si>
  <si>
    <t>REVOCAR EL MANDATO DEL ALCALDE Carlos Arturo Zambrano Palacio</t>
  </si>
  <si>
    <t>Si:946 No:70</t>
  </si>
  <si>
    <t>GALAPA</t>
  </si>
  <si>
    <t>Revocar el mandato del Alcalde Régulo Pascual Matera García</t>
  </si>
  <si>
    <t>NO CERTIFICADA</t>
  </si>
  <si>
    <t>POLONUEVO</t>
  </si>
  <si>
    <t>REVOCAR EL MANDATO DEL ALCALDE</t>
  </si>
  <si>
    <t>REVOCAR EL MANDATO DEL ALCALDE Darling Luz Cárdenas Martes</t>
  </si>
  <si>
    <t>PONEDERA</t>
  </si>
  <si>
    <t xml:space="preserve">REVOCAR EL MANDATO DEL ALCALDE Hernando Julio Manotas Manotas </t>
  </si>
  <si>
    <t>PUERTO COLOMBIA</t>
  </si>
  <si>
    <t>REVOCAR EL MANDATO DEL ALCALDE Carlos Arturo de la Asún</t>
  </si>
  <si>
    <t>TUBARÁ</t>
  </si>
  <si>
    <t>REVOCAR EL MANDATO DEL ALCALDE Baldomero Barraza Molina</t>
  </si>
  <si>
    <t>USIACURI</t>
  </si>
  <si>
    <t>REVOCAR EL MANDATO DEL ALCALDE William Pastor Bresneider Alvear</t>
  </si>
  <si>
    <t>REGIDOR</t>
  </si>
  <si>
    <t>ACHÍ</t>
  </si>
  <si>
    <t>ALCALDE DE ACHI</t>
  </si>
  <si>
    <t>JOSE DE DIOS PEDRAZA  ARRIETA</t>
  </si>
  <si>
    <t>JOSE DE DIOS PEDRAZA Y YONAIRO ZAENZ</t>
  </si>
  <si>
    <t>APROBADO</t>
  </si>
  <si>
    <t>1634 APROBADAS  Y 361 RECHAZADAS</t>
  </si>
  <si>
    <t>NO SE REVOCO</t>
  </si>
  <si>
    <t>CELEBRADO</t>
  </si>
  <si>
    <t>ALCALDE REGIDOR</t>
  </si>
  <si>
    <t>JULIO FLOREZ BARROS</t>
  </si>
  <si>
    <t>APROBADAS  485 EXCLUIDAS 176</t>
  </si>
  <si>
    <t>19 DE MARZO /2009</t>
  </si>
  <si>
    <t>BOYACÁ</t>
  </si>
  <si>
    <t>SI</t>
  </si>
  <si>
    <t>IZA</t>
  </si>
  <si>
    <t>HERACLIO TORRES</t>
  </si>
  <si>
    <t>MANUEL IGNACIO TORRES MEDINA
CEYLA TARCILA MESA DE SALCEDO
FELIX MARIA BECERRA LAVERDE
MARIA EDILMA MORALES TALERO
BERTHA LUIDINA CHAPPARRO RINCON
EFRAIN BERNAL DIAZ
MARITZA ZORRO BENAVIDES
MARIA ELOINA CHPARARRO RINCON</t>
  </si>
  <si>
    <t>11-ENERO DE 1996</t>
  </si>
  <si>
    <t>40% DE LA VOTACION(769)</t>
  </si>
  <si>
    <t>NO SE REVOCO EL MANDATO</t>
  </si>
  <si>
    <t>NO APLICA</t>
  </si>
  <si>
    <t>SAMACA</t>
  </si>
  <si>
    <t>JAIME GALINDO RAMIREZ</t>
  </si>
  <si>
    <t xml:space="preserve">DOMINGO SIERRA CRIZ, JAIME GALINDO RAMIREZ </t>
  </si>
  <si>
    <t>NO APROBADO</t>
  </si>
  <si>
    <t xml:space="preserve">APROBADAS 1201
RECHAZADAS 470           </t>
  </si>
  <si>
    <t>NO HUBO</t>
  </si>
  <si>
    <t>SOMONDOCO</t>
  </si>
  <si>
    <t xml:space="preserve">“RAZONES QUE FUNDAMENTAN ESTA SOLICITUD LA INCONFORMIDAD GENERAL DE LA COMUNIDAD SE MANIFIESTA EN TORNO A LA PRACTICA INTOLERANTE DEL SEÑOR ALCALDE FRENTE  QUIENES DISIENTEN DE SU MODO DE ADMINISTRAR, DE DIRIGIR, DE EJECUTAR Y DE EJERCER LA AUTORIDAD; AL DESCONOCIMIENTO DE QUE AQUELLO QUE DISIENTEN SON CIUDADANOS PLENOS DE DERECHOS Y SUJETOS PRECISADOS DE LA ACCIÓN PUBLICA Y HACIA QUIENES EL SEÑOR ALCALDE TIENE UNA RESPONSABILIDAD. LAS REPETIDAS FALTAS DE RESPETO HACIA LOS CAMPESINOS Y HABITANTES DEL MUNICIPIO, MANTENIENDO UN TRATO DESCORTÉS DE QUIEN EJERCE EL PRIMER CARGO DEL MUNICIPIO. </t>
  </si>
  <si>
    <t>MAYDA CECILIA VELASQUEZ RUEDA</t>
  </si>
  <si>
    <t xml:space="preserve">CIRO ANTONIO GARCIA BACA, YEBRAIL ALFONSO GONZALEZ DIAZ, DIONISIO RODRIGO BARRERA, DORIS AMANDA BOHORQUEZ VACA, MARIA CONSUELO ARAGON B., FREDY ALBERTO VACA RAMIREZ, MIGUEL ANGEL BOHORQUEZ F, MARTA MARLENY ARAGON, ARMANDO ROJAS MONTENEGRO </t>
  </si>
  <si>
    <t>79 RECHAZADAS
482 APROBADAS</t>
  </si>
  <si>
    <t>NO PROCEDIO</t>
  </si>
  <si>
    <t>CALDAS</t>
  </si>
  <si>
    <t>VICTORIA</t>
  </si>
  <si>
    <t>Revocar el mandato del señor HUGO VALENZUELA PEREZ</t>
  </si>
  <si>
    <t>SIN INFORMACIÓN</t>
  </si>
  <si>
    <t>CAQUETÁ</t>
  </si>
  <si>
    <t>CURILLO</t>
  </si>
  <si>
    <t>REVOCAR EL MANDTO DEL ALCALDE DE CURILLO, PERIODO 2008 - 2011</t>
  </si>
  <si>
    <t>NO SE ENCONTRO</t>
  </si>
  <si>
    <t>SI: 1.216  
NO: 27
BLANCO: 11
NULOS: 15
NO MARCADOS: 15</t>
  </si>
  <si>
    <t>NO SE DILIGENCIO EL RESTO DE CASILLAS, TENIEDO EN CUENTA QUE NO SE ENCONTRO INFORMACIÓN AL RESPECTO</t>
  </si>
  <si>
    <t>FLORENCIA</t>
  </si>
  <si>
    <t>REVOCAR EL MANDATO DE LA ALCALDESA DE FLORENCIA - CAQUETÁ, PERIODO CONSTITUCIONAL 2012 - 2015</t>
  </si>
  <si>
    <t>CESAR AUGUSTO ALARCÓN CUELLAR - LUIS ERNESTO GONZÁLEZ MOSQUERA - CAMILO ARVELAEZ - 
JUSTINIANO TIQUE SOLER - 
PEDRO ALFONSO MAHECHA LUGO - 
FÉLIX ANTONIO MURCIA VELASCO - NELSON PLAZAS SÁNCHEZ - 
ALFONSO GUEVARA TOLEDO - 
GERMAN GONZALO DUQUE PEREZ</t>
  </si>
  <si>
    <t>APROBADAS: 11.349   --- RECHAZADAS: 4.387</t>
  </si>
  <si>
    <t>SI: 10.492
NO: 503
V/BCO: 203
V/N: 63
VNM: 62</t>
  </si>
  <si>
    <t>CASANARE</t>
  </si>
  <si>
    <t xml:space="preserve">PAZ DE ARIPORO </t>
  </si>
  <si>
    <t>REVOCAR EL MANDATO AL ALCALDE MUNICIPAL</t>
  </si>
  <si>
    <t>ERIBERTO GONZALEZ BENITEZ</t>
  </si>
  <si>
    <t>JUAN CARLOS ORTIZ RIOS  - MAURICIO GONZALEZ ROMERO - YUDY LILIANA ARCINIEGAS PINZON - MONICA VIVIANA CASTILLO DIAZ - ELICEO TARACHE VELANDIA - ISAIAS CRISTIANO PARRA - OFELIA GUZMAN PINZON - ELEACID MONTAÑA SOGAMOSO</t>
  </si>
  <si>
    <t>APROBADAS:2054 RECHAZADAS:1650</t>
  </si>
  <si>
    <t xml:space="preserve">VOTADA NO PROSPERO </t>
  </si>
  <si>
    <t>CÓRDOBA</t>
  </si>
  <si>
    <t>MONTELIBANO</t>
  </si>
  <si>
    <t xml:space="preserve">REVOCATORIA DEL ALCALDE MUNICIPAL </t>
  </si>
  <si>
    <t>RECHAZADO POR NO SUPERAR EL UMBRAL ESTABLECIDO EN EL ARTICULO 69 DE LA LEY 134 DE 1994, MODIFICADO POR LA LEY 741 DEL 2002</t>
  </si>
  <si>
    <t>REVOCATORIA DEL ALCALDE MUNICIPAL</t>
  </si>
  <si>
    <t>PUERTO LIBERTADOR</t>
  </si>
  <si>
    <t>DEPARTAMENTAL</t>
  </si>
  <si>
    <t>GUAVIARE</t>
  </si>
  <si>
    <t>MIRAFLORES</t>
  </si>
  <si>
    <t>Revocatoria o No del Mandato del Alcalde Municipal WILLIAM CHAVEZ MONTOYA</t>
  </si>
  <si>
    <t>Para la época en que se realizó no se contemplaba la figura del vocero del comité</t>
  </si>
  <si>
    <t>- MARCO ANTONIO FONSECA GARCIA C.C. 19.397.244
- RAFAEL ALBERTO GOMEZ C.C. 11.405.007
- DIEGO DE JESUS GUTIERREZ BECERRA C.C. 9.891.566</t>
  </si>
  <si>
    <t>Realizado</t>
  </si>
  <si>
    <t>Para la época en que se realizó la ley no  contemplaba fecha de entrega del formulario</t>
  </si>
  <si>
    <t xml:space="preserve">192 Aprobadas 
60 Rechazadas </t>
  </si>
  <si>
    <t>Para la época en que se realizó la ley no  contemplaba, pues la solicitud se debía presentar acompañada de los apoyos</t>
  </si>
  <si>
    <t>No se revocó el mandato, dados los resultados del proceso:
Si = 149
No = 322
Blanco =  8</t>
  </si>
  <si>
    <t>Revocatoria o No del Mandato del Gobernador JOSE OCTAVIANO RIVERA MONCADA</t>
  </si>
  <si>
    <t>- JOSE DE LA CRUZ PARRA TORRES C.C. 19.471.895
-HERMES ALIRIO MOYANO CAMELO C.C. 3.140.805 
- PABLO CESAR TOBON OCAMPO C.C. 9.956.797</t>
  </si>
  <si>
    <t>3911 Aprobadas 2897 Rechazadas</t>
  </si>
  <si>
    <t>No se revocó el mandato, dados los resultados del proceso:
Si = 1611
No = 248
Nulos = 41
No marcados = 12</t>
  </si>
  <si>
    <t>HUILA</t>
  </si>
  <si>
    <t xml:space="preserve"> CAMPOALEGRE</t>
  </si>
  <si>
    <t>REVOCAR EL MANDATO DE LA ALCALDESA NEYLA TRIVIÑO ROJAS</t>
  </si>
  <si>
    <t>CONSUELO RAMIREZ CORTES</t>
  </si>
  <si>
    <t>Consuelo Ramírez Cortes, Esperanza Ramírez Cortes, Virgelina Lemus Quiroz, Carmenza Bocanegra Guzmán, Jaime Lozada Gaitán, Jorge Eyder Carvajal, Jairo Quintero Barreiro, Víctor Hugo Vargas Charry y Isaac Caballero Jojoa</t>
  </si>
  <si>
    <t>CERRADO</t>
  </si>
  <si>
    <t>VALIDOS 3375  RECHAZADO 1138</t>
  </si>
  <si>
    <t>NO SE HALLO INFORMACION EN ARCHIVO</t>
  </si>
  <si>
    <t>UMBRAL REQUERIDO 7558</t>
  </si>
  <si>
    <t>YAGUARÁ</t>
  </si>
  <si>
    <t>REVOCAR MANDATO ALCADE: LUIS ERNESTO GARCIA POLANIA  PERIODO CONSTITUCIONAL 2004-2007</t>
  </si>
  <si>
    <t>ALEXANDER LOSADA VARGAS</t>
  </si>
  <si>
    <t>HERMINZUL CANO , EDUARDO ROJAS SALAZAR, LUIS ERNESTO PERDOMO MONTEALEGRE, JAIRO PASTRANA GOMEZ, HERNANDO RIVAS MONJE, FRANCIA ELENA TOVAR FIERRO, JOSE JOHN FALLA GARCIA, SAIN AGUIRRE MONTEALEGERE, MARIA TILCIA PERDOMO SIVA</t>
  </si>
  <si>
    <t>449 APROBADOS              354 RECHAZADAS</t>
  </si>
  <si>
    <t xml:space="preserve">ESTADO  DEL ARCHIVO FISICO  INCOMPLETO </t>
  </si>
  <si>
    <t>MAGDALENA</t>
  </si>
  <si>
    <t>REMOLINO</t>
  </si>
  <si>
    <t>DERECHO POLITICO POR MEDIO DEL CUAL LOS CIUDADANOS PRETENDEN DAR POR TERMINADO EL MANDATO QUE LE HAN CONFERIDO AL ALCALDE DE REMOLINO</t>
  </si>
  <si>
    <t>JOSE DE JESUS NOLASCO HERNANDEZ</t>
  </si>
  <si>
    <t>JOSE DE JESUS NOLASCO HERNANDEZ, CARLOS JULIO VARGAS FONTALVO, JOSE GREGORIO PERTUZ MORRON, AUXILIO CESAR SANJOSE MANJARREZ, CARLOS CESAR BONETT VILLAMIL, ARNALDO FANDIÑO GARCIA, DIEGO ARMANDO VISBAL MIRANDA y TOMAS ALBERTO CHARRIS MALDONADO</t>
  </si>
  <si>
    <t>Aprobadas 925 Rechazadas 186</t>
  </si>
  <si>
    <t>META</t>
  </si>
  <si>
    <t>ARCHIVADO</t>
  </si>
  <si>
    <t>SAN MARTÍN</t>
  </si>
  <si>
    <t>001/2010</t>
  </si>
  <si>
    <t>REVOCAR MANDATO AL ALCALDE</t>
  </si>
  <si>
    <t>NO SE REVOCÓ</t>
  </si>
  <si>
    <t>001</t>
  </si>
  <si>
    <t>NORTE DE SANTANDER</t>
  </si>
  <si>
    <t>CÚCUTA</t>
  </si>
  <si>
    <t>REVOCAR LA ELECCION A LA ALCADIA DE MARIA EUGENIA RIASCOS RODRIGUEZ</t>
  </si>
  <si>
    <t>LEONARDO VILLAMIZAR TRUJILLO</t>
  </si>
  <si>
    <t>LEONARDO VILLAMIZAR TRUJILLO Y CALIXTO MANTILLA GARCIA</t>
  </si>
  <si>
    <t>RECOLECION DE FIRMAS</t>
  </si>
  <si>
    <t>39,973</t>
  </si>
  <si>
    <t>24,445/62,474</t>
  </si>
  <si>
    <t>NO FUERON APROBADAS LAS FIRMAS DE APOYO</t>
  </si>
  <si>
    <t>PUTUMAYO</t>
  </si>
  <si>
    <t>SANTIAGO</t>
  </si>
  <si>
    <t>REVOCATORIA DEL MADATO DEL SEÑOR ALCALDE MUNICIPAL TITO BARRERA ORTEGA POR LA CAUSAL DE INSATISFACCION GENERAL DE LA CIUDADANIA.</t>
  </si>
  <si>
    <t>FRANKLIN LIBARDO BENAVIDES REVELO</t>
  </si>
  <si>
    <t>FRANKLIN LIBARDO BENAVIDES REVELO, CARLOS EDUARDO TORRES CORDOBA, JOSE ELIECER JARAMILLO, JUSTINO EFRAIN CASTRO REVELO, STELLA NERY SANCHEZ ZAMBRANO, JUAN ORLAY QUEMAG, ANGEL LEON ZAMUDIO LUNA, GERMAN EDMUNDO JURADO MORENO, JAIME ORTEGA SANTACRUZ, JOSE UPERCIO DIAZ ZAMBRANO Y HERNAN EDISON CASTILLO SANCHEZ</t>
  </si>
  <si>
    <t>no aprobado</t>
  </si>
  <si>
    <t>Votación Valida para el Señor TITO BARRERA en elecciones 2012: 3204</t>
  </si>
  <si>
    <t>APOYOS NO VALIDOS: 96  APOYOS VALIDOS: 574</t>
  </si>
  <si>
    <t>SI: 1073 - NO: 19 - VOTOS EN BLANCO: 14 - VOTOS NULOS: 5 - VOTOS NO MARCADOS: 17</t>
  </si>
  <si>
    <t>TENIENDO EN CUENTA QUE LOS VOTOS VALIDOS EN LA ELECCIÓN ANTERIOR FUERON 3204 Y EL 55% DE ESTA ES DE 1763, QUE LOS VOTOS EN ESTA CONVOCATORIA FUERON 1128, LA COMISION ESCRUTADORA DE ACUERDO A LO CONTEMPLADO EN LA LEY 471 DE 2002 Y LA LEY 134 DE 1994 DECLARA NO REVOCADO EL MADATO DE ALCALDE.</t>
  </si>
  <si>
    <t>SUCRE</t>
  </si>
  <si>
    <t>COROZAL</t>
  </si>
  <si>
    <t>Revocatoria del Mandato -Alcalde</t>
  </si>
  <si>
    <t>Manuel Segundo Martinez y Otros</t>
  </si>
  <si>
    <t>Manuel Martinez Hernandez-Anselmo Mercado barrerto- Armando Vergara Petano</t>
  </si>
  <si>
    <t xml:space="preserve"> No paso el numero de votos por el sí</t>
  </si>
  <si>
    <t>3,515 firmas</t>
  </si>
  <si>
    <t>2,826  aprobadas</t>
  </si>
  <si>
    <t>1,676 votos</t>
  </si>
  <si>
    <t>SAN MARCOS</t>
  </si>
  <si>
    <t>Revocatoria del Mandato Alcalde</t>
  </si>
  <si>
    <t xml:space="preserve">Camilo Uribe </t>
  </si>
  <si>
    <t>Camilo Uribe - Angel Ricardo Nuñez</t>
  </si>
  <si>
    <t>No pasó el  número de votos por el sí</t>
  </si>
  <si>
    <t>2,630 firmas</t>
  </si>
  <si>
    <t>5,005 firmas</t>
  </si>
  <si>
    <t>2,773 firmas</t>
  </si>
  <si>
    <t>8,211 votos</t>
  </si>
  <si>
    <t>No alcanzó el número de votos por el sí</t>
  </si>
  <si>
    <t>VALLE</t>
  </si>
  <si>
    <t>PALMIRA</t>
  </si>
  <si>
    <t>Revocatoria al mandato de Raul Alfredo Arboleda Marquez.</t>
  </si>
  <si>
    <t>BLADIMIR BECERRA ARAMBURO</t>
  </si>
  <si>
    <t>WILSON FERNANDEZ ESPINOSA
HERNANDO FLOREZ ESCOBAR
CARLOS ALBERTO GOMEZ OCAMPO
VICTOR ALBERTO CAÑARTE VELASQUEZ
HECTOR FABIO TORRES
HERNAN VASQUEZ MORALES
WILLIAM RANGEL
JAMEZ GOMEZ
JOHN JAIRO OSPINA VALENCIA</t>
  </si>
  <si>
    <t>SI
DIR.NAL.CENSO ELECTORAL</t>
  </si>
  <si>
    <t>ENERO 14 DE 2009</t>
  </si>
  <si>
    <t>APROBADAS: 17684
RECHAZADAS: 13154</t>
  </si>
  <si>
    <t>25 DE JUNIO DE 2009</t>
  </si>
  <si>
    <t>TOTAL: 15982
SI: 13626
NO: 2004
NULOS:112
"ABSTENCIÓN %": 92,25%</t>
  </si>
  <si>
    <t>REVOCATORIAS DE MANDATO DESDE 1996 HASTA 2014</t>
  </si>
  <si>
    <t>NO</t>
  </si>
  <si>
    <t>POTENCIAL</t>
  </si>
  <si>
    <t>UMBRAL</t>
  </si>
  <si>
    <t>TOTAL VOTACIÓN</t>
  </si>
  <si>
    <t>NULOS</t>
  </si>
  <si>
    <t>NO MARCADOS</t>
  </si>
  <si>
    <t>VOTOS VÁLIDOS ELECCIÓN ANTERIOR</t>
  </si>
  <si>
    <t>VOTO EN BLANCO</t>
  </si>
  <si>
    <t>N/A</t>
  </si>
  <si>
    <t>MAHATES</t>
  </si>
  <si>
    <t>PEDRAZA</t>
  </si>
  <si>
    <t>PEÑOL</t>
  </si>
  <si>
    <t>DABEIBA</t>
  </si>
  <si>
    <t>CAUCA</t>
  </si>
  <si>
    <t>PIAMONTE</t>
  </si>
  <si>
    <t>PEQUE</t>
  </si>
  <si>
    <t>SEVILLA</t>
  </si>
  <si>
    <t>BELÉN DE LOS ANDAQUIES</t>
  </si>
  <si>
    <t>TOLIMA</t>
  </si>
  <si>
    <t>LÍBANO</t>
  </si>
  <si>
    <t>PRADERA</t>
  </si>
  <si>
    <t>TAMESIS</t>
  </si>
  <si>
    <t>FRONTINO</t>
  </si>
  <si>
    <t>SANTANDER</t>
  </si>
  <si>
    <t>MOLAGAVITA</t>
  </si>
  <si>
    <t>MURINDÓ</t>
  </si>
  <si>
    <t>RIO VIEJO</t>
  </si>
  <si>
    <t>CHARALÁ</t>
  </si>
  <si>
    <t>SIN DATOS</t>
  </si>
  <si>
    <t>OCAÑA</t>
  </si>
  <si>
    <t>CESAR</t>
  </si>
  <si>
    <t>EL COPEY</t>
  </si>
  <si>
    <t>SAN BENITO ABAD</t>
  </si>
  <si>
    <t>ICONONZO</t>
  </si>
  <si>
    <t>EL CARMÉN DE BOLÍVAR</t>
  </si>
  <si>
    <t>PALMITO</t>
  </si>
  <si>
    <t>BARRANCABERMEJA</t>
  </si>
  <si>
    <t>%</t>
  </si>
  <si>
    <t>ABSTENCIÓN</t>
  </si>
  <si>
    <t>VICHADA</t>
  </si>
  <si>
    <t>PUERTO CARREÑO</t>
  </si>
  <si>
    <t>SITIONUEVO</t>
  </si>
  <si>
    <t>CUNDINAMARCA</t>
  </si>
  <si>
    <t>GIRARDOT</t>
  </si>
  <si>
    <t>VILLAMARIA</t>
  </si>
  <si>
    <t>FECHA</t>
  </si>
  <si>
    <t>SAN PELAYO</t>
  </si>
  <si>
    <t>SOGAMOSO</t>
  </si>
  <si>
    <t>TASCO</t>
  </si>
  <si>
    <t>CUMARAL</t>
  </si>
  <si>
    <t>CICUCO</t>
  </si>
  <si>
    <t>NO PROSPERO POR UMBRAL</t>
  </si>
  <si>
    <t>LA CALERA</t>
  </si>
  <si>
    <t>HERVEO</t>
  </si>
  <si>
    <t>EL PEÑON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</si>
</sst>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theme="1"/>
      <name val="Calibri"/>
      <family val="2"/>
      <scheme val="minor"/>
    </font>
    <font>
      <b/>
      <sz val="13"/>
      <name val="Calibri"/>
      <family val="2"/>
      <scheme val="minor"/>
    </font>
    <font>
      <sz val="11"/>
      <name val="Calibri"/>
      <family val="2"/>
      <scheme val="minor"/>
    </font>
    <font>
      <b/>
      <sz val="11"/>
      <name val="Calibri"/>
      <family val="2"/>
      <scheme val="minor"/>
    </font>
    <font>
      <b/>
      <i/>
      <sz val="10"/>
      <name val="Calibri"/>
      <family val="2"/>
      <scheme val="minor"/>
    </font>
    <font>
      <b/>
      <sz val="9"/>
      <color indexed="81"/>
      <name val="Tahoma"/>
      <family val="2"/>
    </font>
    <font>
      <sz val="9"/>
      <color indexed="81"/>
      <name val="Tahoma"/>
      <family val="2"/>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31">
    <xf numFmtId="0" fontId="0" fillId="0" borderId="0" xfId="0"/>
    <xf numFmtId="0" fontId="2"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0" xfId="0" applyFill="1" applyAlignment="1">
      <alignment wrapText="1"/>
    </xf>
    <xf numFmtId="1"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164" fontId="2" fillId="0" borderId="0" xfId="0" applyNumberFormat="1" applyFont="1" applyFill="1" applyAlignment="1">
      <alignment wrapText="1"/>
    </xf>
    <xf numFmtId="3" fontId="2" fillId="0" borderId="0" xfId="0" applyNumberFormat="1" applyFont="1" applyFill="1" applyAlignment="1">
      <alignment wrapText="1"/>
    </xf>
    <xf numFmtId="3" fontId="0" fillId="0" borderId="0" xfId="0" applyNumberFormat="1" applyFill="1" applyAlignment="1">
      <alignment wrapText="1"/>
    </xf>
    <xf numFmtId="3"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0" fontId="0" fillId="0" borderId="1" xfId="1" applyNumberFormat="1" applyFont="1" applyFill="1" applyBorder="1" applyAlignment="1">
      <alignment horizontal="center" vertical="center" wrapText="1"/>
    </xf>
    <xf numFmtId="164" fontId="0" fillId="2" borderId="1" xfId="0" applyNumberFormat="1" applyFill="1" applyBorder="1" applyAlignment="1">
      <alignment horizontal="center" vertical="center" wrapText="1"/>
    </xf>
    <xf numFmtId="0" fontId="1" fillId="0"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zoomScale="90" zoomScaleNormal="90" zoomScaleSheetLayoutView="50" workbookViewId="0">
      <pane ySplit="3" topLeftCell="A4" activePane="bottomLeft" state="frozen"/>
      <selection pane="bottomLeft" sqref="A1:S1"/>
    </sheetView>
  </sheetViews>
  <sheetFormatPr baseColWidth="10" defaultColWidth="5.6640625" defaultRowHeight="15" x14ac:dyDescent="0.2"/>
  <cols>
    <col min="1" max="1" width="4.83203125" style="1" bestFit="1" customWidth="1"/>
    <col min="2" max="2" width="19.1640625" style="1" customWidth="1"/>
    <col min="3" max="3" width="20.1640625" style="1" bestFit="1" customWidth="1"/>
    <col min="4" max="4" width="12.33203125" style="1" hidden="1" customWidth="1"/>
    <col min="5" max="5" width="35.83203125" style="1" bestFit="1" customWidth="1"/>
    <col min="6" max="6" width="30.5" style="1" bestFit="1" customWidth="1"/>
    <col min="7" max="7" width="22" style="21" customWidth="1"/>
    <col min="8" max="8" width="24" style="22" customWidth="1"/>
    <col min="9" max="9" width="58" style="1" hidden="1" customWidth="1"/>
    <col min="10" max="10" width="74.33203125" style="1" hidden="1" customWidth="1"/>
    <col min="11" max="11" width="50" style="1" hidden="1" customWidth="1"/>
    <col min="12" max="12" width="85" style="1" hidden="1" customWidth="1"/>
    <col min="13" max="13" width="64.5" style="1" hidden="1" customWidth="1"/>
    <col min="14" max="14" width="27.5" style="1" customWidth="1"/>
    <col min="15" max="15" width="33.1640625" style="1" hidden="1" customWidth="1"/>
    <col min="16" max="16" width="25.83203125" style="1" hidden="1" customWidth="1"/>
    <col min="17" max="17" width="23" style="1" hidden="1" customWidth="1"/>
    <col min="18" max="18" width="25.33203125" style="1" hidden="1" customWidth="1"/>
    <col min="19" max="19" width="58.33203125" style="1" hidden="1" customWidth="1"/>
    <col min="20" max="16384" width="5.6640625" style="1"/>
  </cols>
  <sheetData>
    <row r="1" spans="1:19" ht="17" x14ac:dyDescent="0.2">
      <c r="A1" s="30" t="s">
        <v>213</v>
      </c>
      <c r="B1" s="30"/>
      <c r="C1" s="30"/>
      <c r="D1" s="30"/>
      <c r="E1" s="30"/>
      <c r="F1" s="30"/>
      <c r="G1" s="30"/>
      <c r="H1" s="30"/>
      <c r="I1" s="30"/>
      <c r="J1" s="30"/>
      <c r="K1" s="30"/>
      <c r="L1" s="30"/>
      <c r="M1" s="30"/>
      <c r="N1" s="30"/>
      <c r="O1" s="30"/>
      <c r="P1" s="30"/>
      <c r="Q1" s="30"/>
      <c r="R1" s="30"/>
      <c r="S1" s="30"/>
    </row>
    <row r="2" spans="1:19" x14ac:dyDescent="0.2">
      <c r="A2" s="2"/>
      <c r="B2" s="2"/>
      <c r="C2" s="2"/>
      <c r="D2" s="2"/>
      <c r="E2" s="2"/>
      <c r="F2" s="2"/>
      <c r="G2" s="4"/>
      <c r="H2" s="5"/>
      <c r="I2" s="3"/>
      <c r="J2" s="2"/>
      <c r="K2" s="2"/>
      <c r="L2" s="2"/>
      <c r="M2" s="3"/>
      <c r="N2" s="2"/>
      <c r="O2" s="3"/>
      <c r="P2" s="3"/>
      <c r="Q2" s="3"/>
      <c r="R2" s="3"/>
      <c r="S2" s="3"/>
    </row>
    <row r="3" spans="1:19" ht="47" x14ac:dyDescent="0.2">
      <c r="A3" s="6" t="s">
        <v>0</v>
      </c>
      <c r="B3" s="6" t="s">
        <v>1</v>
      </c>
      <c r="C3" s="6" t="s">
        <v>2</v>
      </c>
      <c r="D3" s="6" t="s">
        <v>3</v>
      </c>
      <c r="E3" s="6" t="s">
        <v>4</v>
      </c>
      <c r="F3" s="6" t="s">
        <v>5</v>
      </c>
      <c r="G3" s="7" t="s">
        <v>16</v>
      </c>
      <c r="H3" s="8" t="s">
        <v>17</v>
      </c>
      <c r="I3" s="6" t="s">
        <v>18</v>
      </c>
      <c r="J3" s="6" t="s">
        <v>6</v>
      </c>
      <c r="K3" s="6" t="s">
        <v>7</v>
      </c>
      <c r="L3" s="6" t="s">
        <v>8</v>
      </c>
      <c r="M3" s="6" t="s">
        <v>9</v>
      </c>
      <c r="N3" s="6" t="s">
        <v>10</v>
      </c>
      <c r="O3" s="6" t="s">
        <v>11</v>
      </c>
      <c r="P3" s="6" t="s">
        <v>12</v>
      </c>
      <c r="Q3" s="6" t="s">
        <v>13</v>
      </c>
      <c r="R3" s="6" t="s">
        <v>14</v>
      </c>
      <c r="S3" s="6" t="s">
        <v>15</v>
      </c>
    </row>
    <row r="4" spans="1:19" s="15" customFormat="1" ht="48" x14ac:dyDescent="0.2">
      <c r="A4" s="9">
        <v>1</v>
      </c>
      <c r="B4" s="9" t="s">
        <v>109</v>
      </c>
      <c r="C4" s="10" t="s">
        <v>110</v>
      </c>
      <c r="D4" s="11">
        <v>1</v>
      </c>
      <c r="E4" s="9" t="s">
        <v>21</v>
      </c>
      <c r="F4" s="9" t="s">
        <v>22</v>
      </c>
      <c r="G4" s="13">
        <v>41994</v>
      </c>
      <c r="H4" s="12">
        <v>343</v>
      </c>
      <c r="I4" s="14" t="s">
        <v>115</v>
      </c>
      <c r="J4" s="9" t="s">
        <v>111</v>
      </c>
      <c r="K4" s="9" t="s">
        <v>112</v>
      </c>
      <c r="L4" s="9" t="s">
        <v>113</v>
      </c>
      <c r="M4" s="9" t="s">
        <v>65</v>
      </c>
      <c r="N4" s="12">
        <v>18616</v>
      </c>
      <c r="O4" s="13">
        <v>41446</v>
      </c>
      <c r="P4" s="12">
        <v>1512</v>
      </c>
      <c r="Q4" s="12">
        <v>3705</v>
      </c>
      <c r="R4" s="12" t="s">
        <v>114</v>
      </c>
      <c r="S4" s="10">
        <v>41629</v>
      </c>
    </row>
    <row r="5" spans="1:19" s="15" customFormat="1" ht="48" x14ac:dyDescent="0.2">
      <c r="A5" s="9">
        <v>2</v>
      </c>
      <c r="B5" s="9" t="s">
        <v>152</v>
      </c>
      <c r="C5" s="10" t="s">
        <v>153</v>
      </c>
      <c r="D5" s="10">
        <v>41621</v>
      </c>
      <c r="E5" s="9" t="s">
        <v>21</v>
      </c>
      <c r="F5" s="9" t="s">
        <v>22</v>
      </c>
      <c r="G5" s="13">
        <v>41882</v>
      </c>
      <c r="H5" s="12">
        <v>668</v>
      </c>
      <c r="I5" s="14" t="s">
        <v>23</v>
      </c>
      <c r="J5" s="9" t="s">
        <v>154</v>
      </c>
      <c r="K5" s="9" t="s">
        <v>155</v>
      </c>
      <c r="L5" s="9" t="s">
        <v>156</v>
      </c>
      <c r="M5" s="9" t="s">
        <v>65</v>
      </c>
      <c r="N5" s="12" t="s">
        <v>23</v>
      </c>
      <c r="O5" s="13">
        <v>41658</v>
      </c>
      <c r="P5" s="12">
        <v>872</v>
      </c>
      <c r="Q5" s="12">
        <v>1111</v>
      </c>
      <c r="R5" s="12" t="s">
        <v>157</v>
      </c>
      <c r="S5" s="10">
        <v>41681</v>
      </c>
    </row>
    <row r="6" spans="1:19" s="15" customFormat="1" ht="16" x14ac:dyDescent="0.2">
      <c r="A6" s="9">
        <v>3</v>
      </c>
      <c r="B6" s="9" t="s">
        <v>39</v>
      </c>
      <c r="C6" s="9" t="s">
        <v>52</v>
      </c>
      <c r="D6" s="9" t="s">
        <v>23</v>
      </c>
      <c r="E6" s="9" t="s">
        <v>21</v>
      </c>
      <c r="F6" s="9" t="s">
        <v>22</v>
      </c>
      <c r="G6" s="13">
        <v>41798</v>
      </c>
      <c r="H6" s="12">
        <v>1701</v>
      </c>
      <c r="I6" s="14" t="s">
        <v>23</v>
      </c>
      <c r="J6" s="9" t="s">
        <v>53</v>
      </c>
      <c r="K6" s="9" t="s">
        <v>23</v>
      </c>
      <c r="L6" s="9" t="s">
        <v>23</v>
      </c>
      <c r="M6" s="9" t="s">
        <v>42</v>
      </c>
      <c r="N6" s="12">
        <v>17210</v>
      </c>
      <c r="O6" s="13" t="s">
        <v>23</v>
      </c>
      <c r="P6" s="12" t="s">
        <v>23</v>
      </c>
      <c r="Q6" s="12" t="s">
        <v>23</v>
      </c>
      <c r="R6" s="12" t="s">
        <v>23</v>
      </c>
      <c r="S6" s="10" t="s">
        <v>23</v>
      </c>
    </row>
    <row r="7" spans="1:19" s="15" customFormat="1" ht="32" x14ac:dyDescent="0.2">
      <c r="A7" s="9">
        <v>4</v>
      </c>
      <c r="B7" s="9" t="s">
        <v>19</v>
      </c>
      <c r="C7" s="10" t="s">
        <v>28</v>
      </c>
      <c r="D7" s="11">
        <v>1</v>
      </c>
      <c r="E7" s="9" t="s">
        <v>21</v>
      </c>
      <c r="F7" s="9" t="s">
        <v>22</v>
      </c>
      <c r="G7" s="13">
        <v>41735</v>
      </c>
      <c r="H7" s="12">
        <v>12454</v>
      </c>
      <c r="I7" s="14" t="s">
        <v>31</v>
      </c>
      <c r="J7" s="9" t="s">
        <v>23</v>
      </c>
      <c r="K7" s="9" t="s">
        <v>29</v>
      </c>
      <c r="L7" s="9" t="s">
        <v>30</v>
      </c>
      <c r="M7" s="9" t="s">
        <v>26</v>
      </c>
      <c r="N7" s="12">
        <v>297505</v>
      </c>
      <c r="O7" s="13">
        <v>41491</v>
      </c>
      <c r="P7" s="12">
        <v>14388</v>
      </c>
      <c r="Q7" s="12">
        <v>45582</v>
      </c>
      <c r="R7" s="12">
        <v>19329</v>
      </c>
      <c r="S7" s="10" t="s">
        <v>23</v>
      </c>
    </row>
    <row r="8" spans="1:19" s="15" customFormat="1" ht="80" x14ac:dyDescent="0.2">
      <c r="A8" s="9">
        <v>5</v>
      </c>
      <c r="B8" s="9" t="s">
        <v>123</v>
      </c>
      <c r="C8" s="9" t="s">
        <v>81</v>
      </c>
      <c r="D8" s="9" t="s">
        <v>23</v>
      </c>
      <c r="E8" s="9" t="s">
        <v>21</v>
      </c>
      <c r="F8" s="9" t="s">
        <v>122</v>
      </c>
      <c r="G8" s="13">
        <v>41672</v>
      </c>
      <c r="H8" s="12">
        <v>1912</v>
      </c>
      <c r="I8" s="14" t="s">
        <v>136</v>
      </c>
      <c r="J8" s="9" t="s">
        <v>133</v>
      </c>
      <c r="K8" s="9" t="s">
        <v>126</v>
      </c>
      <c r="L8" s="9" t="s">
        <v>134</v>
      </c>
      <c r="M8" s="9" t="s">
        <v>128</v>
      </c>
      <c r="N8" s="12">
        <v>53088</v>
      </c>
      <c r="O8" s="13" t="s">
        <v>129</v>
      </c>
      <c r="P8" s="12">
        <v>3910</v>
      </c>
      <c r="Q8" s="12">
        <v>6808</v>
      </c>
      <c r="R8" s="12" t="s">
        <v>135</v>
      </c>
      <c r="S8" s="10" t="s">
        <v>131</v>
      </c>
    </row>
    <row r="9" spans="1:19" s="15" customFormat="1" ht="16" x14ac:dyDescent="0.2">
      <c r="A9" s="9">
        <v>6</v>
      </c>
      <c r="B9" s="9" t="s">
        <v>39</v>
      </c>
      <c r="C9" s="9" t="s">
        <v>58</v>
      </c>
      <c r="D9" s="9" t="s">
        <v>23</v>
      </c>
      <c r="E9" s="9" t="s">
        <v>21</v>
      </c>
      <c r="F9" s="9" t="s">
        <v>22</v>
      </c>
      <c r="G9" s="13">
        <v>41609</v>
      </c>
      <c r="H9" s="18">
        <v>575</v>
      </c>
      <c r="I9" s="14" t="s">
        <v>23</v>
      </c>
      <c r="J9" s="9" t="s">
        <v>59</v>
      </c>
      <c r="K9" s="9" t="s">
        <v>23</v>
      </c>
      <c r="L9" s="9" t="s">
        <v>23</v>
      </c>
      <c r="M9" s="9" t="s">
        <v>42</v>
      </c>
      <c r="N9" s="12">
        <v>7026</v>
      </c>
      <c r="O9" s="13" t="s">
        <v>23</v>
      </c>
      <c r="P9" s="12" t="s">
        <v>23</v>
      </c>
      <c r="Q9" s="12" t="s">
        <v>23</v>
      </c>
      <c r="R9" s="12" t="s">
        <v>23</v>
      </c>
      <c r="S9" s="10" t="s">
        <v>23</v>
      </c>
    </row>
    <row r="10" spans="1:19" s="15" customFormat="1" ht="16" x14ac:dyDescent="0.2">
      <c r="A10" s="9">
        <v>7</v>
      </c>
      <c r="B10" s="9" t="s">
        <v>184</v>
      </c>
      <c r="C10" s="9" t="s">
        <v>193</v>
      </c>
      <c r="D10" s="19">
        <v>41394</v>
      </c>
      <c r="E10" s="17" t="s">
        <v>21</v>
      </c>
      <c r="F10" s="9" t="s">
        <v>22</v>
      </c>
      <c r="G10" s="13">
        <v>41602</v>
      </c>
      <c r="H10" s="12" t="s">
        <v>201</v>
      </c>
      <c r="I10" s="14" t="s">
        <v>202</v>
      </c>
      <c r="J10" s="9" t="s">
        <v>194</v>
      </c>
      <c r="K10" s="9" t="s">
        <v>195</v>
      </c>
      <c r="L10" s="9" t="s">
        <v>196</v>
      </c>
      <c r="M10" s="9" t="s">
        <v>197</v>
      </c>
      <c r="N10" s="12" t="s">
        <v>23</v>
      </c>
      <c r="O10" s="13" t="s">
        <v>23</v>
      </c>
      <c r="P10" s="12" t="s">
        <v>198</v>
      </c>
      <c r="Q10" s="12" t="s">
        <v>199</v>
      </c>
      <c r="R10" s="12" t="s">
        <v>200</v>
      </c>
      <c r="S10" s="10" t="s">
        <v>23</v>
      </c>
    </row>
    <row r="11" spans="1:19" s="15" customFormat="1" ht="48" x14ac:dyDescent="0.2">
      <c r="A11" s="9">
        <v>8</v>
      </c>
      <c r="B11" s="9" t="s">
        <v>137</v>
      </c>
      <c r="C11" s="9" t="s">
        <v>138</v>
      </c>
      <c r="D11" s="9" t="s">
        <v>23</v>
      </c>
      <c r="E11" s="9" t="s">
        <v>21</v>
      </c>
      <c r="F11" s="9" t="s">
        <v>22</v>
      </c>
      <c r="G11" s="13">
        <v>41595</v>
      </c>
      <c r="H11" s="12">
        <v>3807</v>
      </c>
      <c r="I11" s="14" t="s">
        <v>145</v>
      </c>
      <c r="J11" s="9" t="s">
        <v>139</v>
      </c>
      <c r="K11" s="9" t="s">
        <v>140</v>
      </c>
      <c r="L11" s="9" t="s">
        <v>141</v>
      </c>
      <c r="M11" s="9" t="s">
        <v>142</v>
      </c>
      <c r="N11" s="12">
        <v>23359</v>
      </c>
      <c r="O11" s="13">
        <v>41339</v>
      </c>
      <c r="P11" s="12">
        <v>2146</v>
      </c>
      <c r="Q11" s="12">
        <v>4513</v>
      </c>
      <c r="R11" s="12" t="s">
        <v>143</v>
      </c>
      <c r="S11" s="10" t="s">
        <v>144</v>
      </c>
    </row>
    <row r="12" spans="1:19" s="15" customFormat="1" ht="80" x14ac:dyDescent="0.2">
      <c r="A12" s="9">
        <v>9</v>
      </c>
      <c r="B12" s="9" t="s">
        <v>174</v>
      </c>
      <c r="C12" s="10" t="s">
        <v>175</v>
      </c>
      <c r="D12" s="12">
        <v>1</v>
      </c>
      <c r="E12" s="9" t="s">
        <v>21</v>
      </c>
      <c r="F12" s="9" t="s">
        <v>22</v>
      </c>
      <c r="G12" s="13">
        <v>41567</v>
      </c>
      <c r="H12" s="12" t="s">
        <v>182</v>
      </c>
      <c r="I12" s="14" t="s">
        <v>183</v>
      </c>
      <c r="J12" s="9" t="s">
        <v>176</v>
      </c>
      <c r="K12" s="9" t="s">
        <v>177</v>
      </c>
      <c r="L12" s="9" t="s">
        <v>178</v>
      </c>
      <c r="M12" s="9" t="s">
        <v>179</v>
      </c>
      <c r="N12" s="12" t="s">
        <v>180</v>
      </c>
      <c r="O12" s="13">
        <v>41380</v>
      </c>
      <c r="P12" s="12">
        <v>386</v>
      </c>
      <c r="Q12" s="12">
        <v>670</v>
      </c>
      <c r="R12" s="12" t="s">
        <v>181</v>
      </c>
      <c r="S12" s="10">
        <v>41456</v>
      </c>
    </row>
    <row r="13" spans="1:19" s="15" customFormat="1" ht="96" x14ac:dyDescent="0.2">
      <c r="A13" s="9">
        <v>10</v>
      </c>
      <c r="B13" s="9" t="s">
        <v>98</v>
      </c>
      <c r="C13" s="10" t="s">
        <v>104</v>
      </c>
      <c r="D13" s="10">
        <v>41353</v>
      </c>
      <c r="E13" s="9" t="s">
        <v>21</v>
      </c>
      <c r="F13" s="9" t="s">
        <v>22</v>
      </c>
      <c r="G13" s="13">
        <v>41532</v>
      </c>
      <c r="H13" s="12" t="s">
        <v>108</v>
      </c>
      <c r="I13" s="14" t="s">
        <v>23</v>
      </c>
      <c r="J13" s="9" t="s">
        <v>105</v>
      </c>
      <c r="K13" s="9" t="s">
        <v>87</v>
      </c>
      <c r="L13" s="9" t="s">
        <v>106</v>
      </c>
      <c r="M13" s="9" t="s">
        <v>65</v>
      </c>
      <c r="N13" s="12" t="s">
        <v>74</v>
      </c>
      <c r="O13" s="13" t="s">
        <v>23</v>
      </c>
      <c r="P13" s="12">
        <v>8421</v>
      </c>
      <c r="Q13" s="12">
        <v>15736</v>
      </c>
      <c r="R13" s="12" t="s">
        <v>107</v>
      </c>
      <c r="S13" s="10" t="s">
        <v>23</v>
      </c>
    </row>
    <row r="14" spans="1:19" ht="32" x14ac:dyDescent="0.2">
      <c r="A14" s="9">
        <v>11</v>
      </c>
      <c r="B14" s="9" t="s">
        <v>32</v>
      </c>
      <c r="C14" s="9" t="s">
        <v>61</v>
      </c>
      <c r="D14" s="16">
        <v>1</v>
      </c>
      <c r="E14" s="17" t="s">
        <v>21</v>
      </c>
      <c r="F14" s="9" t="s">
        <v>22</v>
      </c>
      <c r="G14" s="13">
        <v>41511</v>
      </c>
      <c r="H14" s="12" t="s">
        <v>23</v>
      </c>
      <c r="I14" s="14" t="s">
        <v>67</v>
      </c>
      <c r="J14" s="9" t="s">
        <v>62</v>
      </c>
      <c r="K14" s="9" t="s">
        <v>63</v>
      </c>
      <c r="L14" s="9" t="s">
        <v>64</v>
      </c>
      <c r="M14" s="9" t="s">
        <v>65</v>
      </c>
      <c r="N14" s="12" t="s">
        <v>23</v>
      </c>
      <c r="O14" s="13">
        <v>41337</v>
      </c>
      <c r="P14" s="12">
        <v>1552</v>
      </c>
      <c r="Q14" s="12">
        <v>1195</v>
      </c>
      <c r="R14" s="12" t="s">
        <v>66</v>
      </c>
      <c r="S14" s="10" t="s">
        <v>23</v>
      </c>
    </row>
    <row r="15" spans="1:19" s="15" customFormat="1" ht="32" x14ac:dyDescent="0.2">
      <c r="A15" s="9">
        <v>12</v>
      </c>
      <c r="B15" s="9" t="s">
        <v>19</v>
      </c>
      <c r="C15" s="10" t="s">
        <v>20</v>
      </c>
      <c r="D15" s="11">
        <v>1</v>
      </c>
      <c r="E15" s="9" t="s">
        <v>21</v>
      </c>
      <c r="F15" s="9" t="s">
        <v>22</v>
      </c>
      <c r="G15" s="13">
        <v>41462</v>
      </c>
      <c r="H15" s="12">
        <v>968</v>
      </c>
      <c r="I15" s="14" t="s">
        <v>27</v>
      </c>
      <c r="J15" s="9" t="s">
        <v>23</v>
      </c>
      <c r="K15" s="9" t="s">
        <v>24</v>
      </c>
      <c r="L15" s="9" t="s">
        <v>25</v>
      </c>
      <c r="M15" s="9" t="s">
        <v>26</v>
      </c>
      <c r="N15" s="12" t="s">
        <v>23</v>
      </c>
      <c r="O15" s="13">
        <v>41323</v>
      </c>
      <c r="P15" s="12">
        <v>1011</v>
      </c>
      <c r="Q15" s="12">
        <v>1543</v>
      </c>
      <c r="R15" s="12">
        <v>1305</v>
      </c>
      <c r="S15" s="10" t="s">
        <v>23</v>
      </c>
    </row>
    <row r="16" spans="1:19" s="15" customFormat="1" ht="32" x14ac:dyDescent="0.2">
      <c r="A16" s="9">
        <v>13</v>
      </c>
      <c r="B16" s="9" t="s">
        <v>73</v>
      </c>
      <c r="C16" s="9" t="s">
        <v>82</v>
      </c>
      <c r="D16" s="10">
        <v>40152</v>
      </c>
      <c r="E16" s="9" t="s">
        <v>21</v>
      </c>
      <c r="F16" s="9" t="s">
        <v>22</v>
      </c>
      <c r="G16" s="13">
        <v>40426</v>
      </c>
      <c r="H16" s="12">
        <v>44</v>
      </c>
      <c r="I16" s="14" t="s">
        <v>23</v>
      </c>
      <c r="J16" s="9" t="s">
        <v>23</v>
      </c>
      <c r="K16" s="9" t="s">
        <v>83</v>
      </c>
      <c r="L16" s="9" t="s">
        <v>84</v>
      </c>
      <c r="M16" s="9" t="s">
        <v>85</v>
      </c>
      <c r="N16" s="12" t="s">
        <v>23</v>
      </c>
      <c r="O16" s="13">
        <v>40152</v>
      </c>
      <c r="P16" s="12">
        <v>943</v>
      </c>
      <c r="Q16" s="12">
        <v>1671</v>
      </c>
      <c r="R16" s="12" t="s">
        <v>86</v>
      </c>
      <c r="S16" s="10" t="s">
        <v>23</v>
      </c>
    </row>
    <row r="17" spans="1:19" s="15" customFormat="1" ht="16" x14ac:dyDescent="0.2">
      <c r="A17" s="9">
        <v>14</v>
      </c>
      <c r="B17" s="9" t="s">
        <v>158</v>
      </c>
      <c r="C17" s="10" t="s">
        <v>160</v>
      </c>
      <c r="D17" s="11" t="s">
        <v>161</v>
      </c>
      <c r="E17" s="9" t="s">
        <v>21</v>
      </c>
      <c r="F17" s="9" t="s">
        <v>22</v>
      </c>
      <c r="G17" s="13">
        <v>40307</v>
      </c>
      <c r="H17" s="12">
        <v>1278</v>
      </c>
      <c r="I17" s="14" t="s">
        <v>163</v>
      </c>
      <c r="J17" s="9" t="s">
        <v>162</v>
      </c>
      <c r="K17" s="9" t="s">
        <v>23</v>
      </c>
      <c r="L17" s="9" t="s">
        <v>23</v>
      </c>
      <c r="M17" s="9" t="s">
        <v>159</v>
      </c>
      <c r="N17" s="12" t="s">
        <v>23</v>
      </c>
      <c r="O17" s="13" t="s">
        <v>23</v>
      </c>
      <c r="P17" s="12" t="s">
        <v>23</v>
      </c>
      <c r="Q17" s="12" t="s">
        <v>23</v>
      </c>
      <c r="R17" s="12" t="s">
        <v>23</v>
      </c>
      <c r="S17" s="10" t="s">
        <v>23</v>
      </c>
    </row>
    <row r="18" spans="1:19" s="15" customFormat="1" ht="144" x14ac:dyDescent="0.2">
      <c r="A18" s="9">
        <v>15</v>
      </c>
      <c r="B18" s="9" t="s">
        <v>203</v>
      </c>
      <c r="C18" s="9" t="s">
        <v>204</v>
      </c>
      <c r="D18" s="20" t="s">
        <v>23</v>
      </c>
      <c r="E18" s="17" t="s">
        <v>21</v>
      </c>
      <c r="F18" s="9" t="s">
        <v>22</v>
      </c>
      <c r="G18" s="13">
        <v>40307</v>
      </c>
      <c r="H18" s="12" t="s">
        <v>212</v>
      </c>
      <c r="I18" s="14" t="s">
        <v>23</v>
      </c>
      <c r="J18" s="9" t="s">
        <v>205</v>
      </c>
      <c r="K18" s="9" t="s">
        <v>206</v>
      </c>
      <c r="L18" s="9" t="s">
        <v>207</v>
      </c>
      <c r="M18" s="9" t="s">
        <v>26</v>
      </c>
      <c r="N18" s="12" t="s">
        <v>208</v>
      </c>
      <c r="O18" s="13" t="s">
        <v>209</v>
      </c>
      <c r="P18" s="12">
        <v>15813</v>
      </c>
      <c r="Q18" s="12">
        <v>30838</v>
      </c>
      <c r="R18" s="12" t="s">
        <v>210</v>
      </c>
      <c r="S18" s="10" t="s">
        <v>211</v>
      </c>
    </row>
    <row r="19" spans="1:19" s="15" customFormat="1" ht="80" x14ac:dyDescent="0.2">
      <c r="A19" s="9">
        <v>16</v>
      </c>
      <c r="B19" s="9" t="s">
        <v>98</v>
      </c>
      <c r="C19" s="10" t="s">
        <v>99</v>
      </c>
      <c r="D19" s="10" t="s">
        <v>23</v>
      </c>
      <c r="E19" s="9" t="s">
        <v>21</v>
      </c>
      <c r="F19" s="9" t="s">
        <v>22</v>
      </c>
      <c r="G19" s="13">
        <v>40104</v>
      </c>
      <c r="H19" s="12" t="s">
        <v>102</v>
      </c>
      <c r="I19" s="14" t="s">
        <v>103</v>
      </c>
      <c r="J19" s="9" t="s">
        <v>100</v>
      </c>
      <c r="K19" s="9" t="s">
        <v>23</v>
      </c>
      <c r="L19" s="9" t="s">
        <v>101</v>
      </c>
      <c r="M19" s="9" t="s">
        <v>65</v>
      </c>
      <c r="N19" s="12" t="s">
        <v>74</v>
      </c>
      <c r="O19" s="13" t="s">
        <v>23</v>
      </c>
      <c r="P19" s="12" t="s">
        <v>23</v>
      </c>
      <c r="Q19" s="12" t="s">
        <v>23</v>
      </c>
      <c r="R19" s="12" t="s">
        <v>23</v>
      </c>
      <c r="S19" s="10" t="s">
        <v>23</v>
      </c>
    </row>
    <row r="20" spans="1:19" s="15" customFormat="1" ht="32" x14ac:dyDescent="0.2">
      <c r="A20" s="9">
        <v>17</v>
      </c>
      <c r="B20" s="9" t="s">
        <v>116</v>
      </c>
      <c r="C20" s="9" t="s">
        <v>117</v>
      </c>
      <c r="D20" s="9" t="s">
        <v>23</v>
      </c>
      <c r="E20" s="9" t="s">
        <v>21</v>
      </c>
      <c r="F20" s="9" t="s">
        <v>22</v>
      </c>
      <c r="G20" s="13">
        <v>40104</v>
      </c>
      <c r="H20" s="12" t="s">
        <v>23</v>
      </c>
      <c r="I20" s="14" t="s">
        <v>119</v>
      </c>
      <c r="J20" s="9" t="s">
        <v>118</v>
      </c>
      <c r="K20" s="9" t="s">
        <v>23</v>
      </c>
      <c r="L20" s="9" t="s">
        <v>23</v>
      </c>
      <c r="M20" s="9" t="s">
        <v>23</v>
      </c>
      <c r="N20" s="12" t="s">
        <v>23</v>
      </c>
      <c r="O20" s="13" t="s">
        <v>23</v>
      </c>
      <c r="P20" s="12" t="s">
        <v>23</v>
      </c>
      <c r="Q20" s="12" t="s">
        <v>23</v>
      </c>
      <c r="R20" s="12" t="s">
        <v>23</v>
      </c>
      <c r="S20" s="10" t="s">
        <v>23</v>
      </c>
    </row>
    <row r="21" spans="1:19" s="15" customFormat="1" ht="16" x14ac:dyDescent="0.2">
      <c r="A21" s="9">
        <v>18</v>
      </c>
      <c r="B21" s="9" t="s">
        <v>39</v>
      </c>
      <c r="C21" s="9" t="s">
        <v>46</v>
      </c>
      <c r="D21" s="9" t="s">
        <v>23</v>
      </c>
      <c r="E21" s="9" t="s">
        <v>21</v>
      </c>
      <c r="F21" s="9" t="s">
        <v>22</v>
      </c>
      <c r="G21" s="13">
        <v>40093</v>
      </c>
      <c r="H21" s="12" t="s">
        <v>23</v>
      </c>
      <c r="I21" s="14" t="s">
        <v>23</v>
      </c>
      <c r="J21" s="9" t="s">
        <v>47</v>
      </c>
      <c r="K21" s="9" t="s">
        <v>23</v>
      </c>
      <c r="L21" s="9" t="s">
        <v>23</v>
      </c>
      <c r="M21" s="9" t="s">
        <v>48</v>
      </c>
      <c r="N21" s="12" t="s">
        <v>23</v>
      </c>
      <c r="O21" s="13" t="s">
        <v>23</v>
      </c>
      <c r="P21" s="12" t="s">
        <v>23</v>
      </c>
      <c r="Q21" s="12" t="s">
        <v>23</v>
      </c>
      <c r="R21" s="12" t="s">
        <v>23</v>
      </c>
      <c r="S21" s="10" t="s">
        <v>23</v>
      </c>
    </row>
    <row r="22" spans="1:19" s="15" customFormat="1" ht="16" x14ac:dyDescent="0.2">
      <c r="A22" s="9">
        <v>19</v>
      </c>
      <c r="B22" s="9" t="s">
        <v>165</v>
      </c>
      <c r="C22" s="10" t="s">
        <v>166</v>
      </c>
      <c r="D22" s="12" t="s">
        <v>164</v>
      </c>
      <c r="E22" s="9" t="s">
        <v>21</v>
      </c>
      <c r="F22" s="9" t="s">
        <v>22</v>
      </c>
      <c r="G22" s="13">
        <v>40035</v>
      </c>
      <c r="H22" s="12" t="s">
        <v>81</v>
      </c>
      <c r="I22" s="14" t="s">
        <v>173</v>
      </c>
      <c r="J22" s="9" t="s">
        <v>167</v>
      </c>
      <c r="K22" s="9" t="s">
        <v>168</v>
      </c>
      <c r="L22" s="9" t="s">
        <v>169</v>
      </c>
      <c r="M22" s="9" t="s">
        <v>170</v>
      </c>
      <c r="N22" s="12">
        <v>429397</v>
      </c>
      <c r="O22" s="13">
        <v>39791</v>
      </c>
      <c r="P22" s="12" t="s">
        <v>171</v>
      </c>
      <c r="Q22" s="12">
        <v>86919</v>
      </c>
      <c r="R22" s="12" t="s">
        <v>172</v>
      </c>
      <c r="S22" s="10">
        <v>39973</v>
      </c>
    </row>
    <row r="23" spans="1:19" s="15" customFormat="1" ht="128" x14ac:dyDescent="0.2">
      <c r="A23" s="9">
        <v>20</v>
      </c>
      <c r="B23" s="9" t="s">
        <v>73</v>
      </c>
      <c r="C23" s="10" t="s">
        <v>88</v>
      </c>
      <c r="D23" s="10">
        <v>39860</v>
      </c>
      <c r="E23" s="9" t="s">
        <v>21</v>
      </c>
      <c r="F23" s="9" t="s">
        <v>22</v>
      </c>
      <c r="G23" s="13">
        <v>40020</v>
      </c>
      <c r="H23" s="12">
        <v>320</v>
      </c>
      <c r="I23" s="14" t="s">
        <v>93</v>
      </c>
      <c r="J23" s="9" t="s">
        <v>89</v>
      </c>
      <c r="K23" s="9" t="s">
        <v>90</v>
      </c>
      <c r="L23" s="9" t="s">
        <v>91</v>
      </c>
      <c r="M23" s="9" t="s">
        <v>65</v>
      </c>
      <c r="N23" s="12">
        <v>2740</v>
      </c>
      <c r="O23" s="13">
        <v>39860</v>
      </c>
      <c r="P23" s="12">
        <v>400</v>
      </c>
      <c r="Q23" s="12">
        <v>561</v>
      </c>
      <c r="R23" s="12" t="s">
        <v>92</v>
      </c>
      <c r="S23" s="10">
        <v>39867</v>
      </c>
    </row>
    <row r="24" spans="1:19" s="15" customFormat="1" ht="16" x14ac:dyDescent="0.2">
      <c r="A24" s="9">
        <v>21</v>
      </c>
      <c r="B24" s="9" t="s">
        <v>39</v>
      </c>
      <c r="C24" s="9" t="s">
        <v>49</v>
      </c>
      <c r="D24" s="9" t="s">
        <v>23</v>
      </c>
      <c r="E24" s="9" t="s">
        <v>21</v>
      </c>
      <c r="F24" s="9" t="s">
        <v>22</v>
      </c>
      <c r="G24" s="13">
        <v>40015</v>
      </c>
      <c r="H24" s="12">
        <v>3609</v>
      </c>
      <c r="I24" s="14" t="s">
        <v>23</v>
      </c>
      <c r="J24" s="9" t="s">
        <v>51</v>
      </c>
      <c r="K24" s="9" t="s">
        <v>23</v>
      </c>
      <c r="L24" s="9" t="s">
        <v>23</v>
      </c>
      <c r="M24" s="9" t="s">
        <v>42</v>
      </c>
      <c r="N24" s="12" t="s">
        <v>23</v>
      </c>
      <c r="O24" s="13" t="s">
        <v>23</v>
      </c>
      <c r="P24" s="12" t="s">
        <v>23</v>
      </c>
      <c r="Q24" s="12" t="s">
        <v>23</v>
      </c>
      <c r="R24" s="12" t="s">
        <v>23</v>
      </c>
      <c r="S24" s="10" t="s">
        <v>23</v>
      </c>
    </row>
    <row r="25" spans="1:19" s="15" customFormat="1" ht="32" x14ac:dyDescent="0.2">
      <c r="A25" s="9">
        <v>22</v>
      </c>
      <c r="B25" s="9" t="s">
        <v>19</v>
      </c>
      <c r="C25" s="10" t="s">
        <v>33</v>
      </c>
      <c r="D25" s="11">
        <v>1</v>
      </c>
      <c r="E25" s="9" t="s">
        <v>21</v>
      </c>
      <c r="F25" s="9" t="s">
        <v>22</v>
      </c>
      <c r="G25" s="13">
        <v>40006</v>
      </c>
      <c r="H25" s="12">
        <v>2206</v>
      </c>
      <c r="I25" s="14" t="s">
        <v>38</v>
      </c>
      <c r="J25" s="9" t="s">
        <v>34</v>
      </c>
      <c r="K25" s="9" t="s">
        <v>35</v>
      </c>
      <c r="L25" s="9" t="s">
        <v>36</v>
      </c>
      <c r="M25" s="9" t="s">
        <v>37</v>
      </c>
      <c r="N25" s="12">
        <v>25898</v>
      </c>
      <c r="O25" s="13">
        <v>39853</v>
      </c>
      <c r="P25" s="12">
        <v>4088</v>
      </c>
      <c r="Q25" s="12">
        <v>3606</v>
      </c>
      <c r="R25" s="12">
        <v>2544</v>
      </c>
      <c r="S25" s="10">
        <v>39912</v>
      </c>
    </row>
    <row r="26" spans="1:19" s="15" customFormat="1" ht="32" x14ac:dyDescent="0.2">
      <c r="A26" s="9">
        <v>23</v>
      </c>
      <c r="B26" s="9" t="s">
        <v>32</v>
      </c>
      <c r="C26" s="9" t="s">
        <v>60</v>
      </c>
      <c r="D26" s="16">
        <v>1</v>
      </c>
      <c r="E26" s="17" t="s">
        <v>21</v>
      </c>
      <c r="F26" s="9" t="s">
        <v>22</v>
      </c>
      <c r="G26" s="13">
        <v>39922</v>
      </c>
      <c r="H26" s="12">
        <v>904</v>
      </c>
      <c r="I26" s="14" t="s">
        <v>67</v>
      </c>
      <c r="J26" s="9" t="s">
        <v>69</v>
      </c>
      <c r="K26" s="9" t="s">
        <v>70</v>
      </c>
      <c r="L26" s="9" t="s">
        <v>70</v>
      </c>
      <c r="M26" s="9" t="s">
        <v>68</v>
      </c>
      <c r="N26" s="12">
        <v>3.5230000000000001</v>
      </c>
      <c r="O26" s="13" t="s">
        <v>23</v>
      </c>
      <c r="P26" s="12">
        <v>400</v>
      </c>
      <c r="Q26" s="12">
        <v>661</v>
      </c>
      <c r="R26" s="12" t="s">
        <v>71</v>
      </c>
      <c r="S26" s="10" t="s">
        <v>72</v>
      </c>
    </row>
    <row r="27" spans="1:19" s="15" customFormat="1" ht="48" x14ac:dyDescent="0.2">
      <c r="A27" s="9">
        <v>24</v>
      </c>
      <c r="B27" s="9" t="s">
        <v>137</v>
      </c>
      <c r="C27" s="9" t="s">
        <v>146</v>
      </c>
      <c r="D27" s="9" t="s">
        <v>23</v>
      </c>
      <c r="E27" s="9" t="s">
        <v>21</v>
      </c>
      <c r="F27" s="9" t="s">
        <v>22</v>
      </c>
      <c r="G27" s="13">
        <v>38704</v>
      </c>
      <c r="H27" s="12" t="s">
        <v>144</v>
      </c>
      <c r="I27" s="14" t="s">
        <v>151</v>
      </c>
      <c r="J27" s="9" t="s">
        <v>147</v>
      </c>
      <c r="K27" s="9" t="s">
        <v>148</v>
      </c>
      <c r="L27" s="9" t="s">
        <v>149</v>
      </c>
      <c r="M27" s="9" t="s">
        <v>142</v>
      </c>
      <c r="N27" s="12" t="s">
        <v>144</v>
      </c>
      <c r="O27" s="13">
        <v>38468</v>
      </c>
      <c r="P27" s="12">
        <v>352</v>
      </c>
      <c r="Q27" s="12">
        <v>803</v>
      </c>
      <c r="R27" s="12" t="s">
        <v>150</v>
      </c>
      <c r="S27" s="10" t="s">
        <v>144</v>
      </c>
    </row>
    <row r="28" spans="1:19" s="15" customFormat="1" ht="64" x14ac:dyDescent="0.2">
      <c r="A28" s="9">
        <v>25</v>
      </c>
      <c r="B28" s="9" t="s">
        <v>123</v>
      </c>
      <c r="C28" s="9" t="s">
        <v>124</v>
      </c>
      <c r="D28" s="9" t="s">
        <v>23</v>
      </c>
      <c r="E28" s="9" t="s">
        <v>21</v>
      </c>
      <c r="F28" s="9" t="s">
        <v>22</v>
      </c>
      <c r="G28" s="13">
        <v>38697</v>
      </c>
      <c r="H28" s="12">
        <v>497</v>
      </c>
      <c r="I28" s="14" t="s">
        <v>132</v>
      </c>
      <c r="J28" s="9" t="s">
        <v>125</v>
      </c>
      <c r="K28" s="9" t="s">
        <v>126</v>
      </c>
      <c r="L28" s="9" t="s">
        <v>127</v>
      </c>
      <c r="M28" s="9" t="s">
        <v>128</v>
      </c>
      <c r="N28" s="12">
        <v>4681</v>
      </c>
      <c r="O28" s="13" t="s">
        <v>129</v>
      </c>
      <c r="P28" s="12">
        <v>146</v>
      </c>
      <c r="Q28" s="12">
        <v>252</v>
      </c>
      <c r="R28" s="12" t="s">
        <v>130</v>
      </c>
      <c r="S28" s="10" t="s">
        <v>131</v>
      </c>
    </row>
    <row r="29" spans="1:19" s="15" customFormat="1" ht="16" x14ac:dyDescent="0.2">
      <c r="A29" s="9">
        <v>26</v>
      </c>
      <c r="B29" s="9" t="s">
        <v>39</v>
      </c>
      <c r="C29" s="9" t="s">
        <v>43</v>
      </c>
      <c r="D29" s="9" t="s">
        <v>23</v>
      </c>
      <c r="E29" s="9" t="s">
        <v>21</v>
      </c>
      <c r="F29" s="9" t="s">
        <v>22</v>
      </c>
      <c r="G29" s="13">
        <v>38578</v>
      </c>
      <c r="H29" s="12">
        <v>1016</v>
      </c>
      <c r="I29" s="14" t="s">
        <v>45</v>
      </c>
      <c r="J29" s="9" t="s">
        <v>44</v>
      </c>
      <c r="K29" s="9" t="s">
        <v>23</v>
      </c>
      <c r="L29" s="9" t="s">
        <v>23</v>
      </c>
      <c r="M29" s="9" t="s">
        <v>42</v>
      </c>
      <c r="N29" s="12" t="s">
        <v>23</v>
      </c>
      <c r="O29" s="13" t="s">
        <v>23</v>
      </c>
      <c r="P29" s="12" t="s">
        <v>23</v>
      </c>
      <c r="Q29" s="12" t="s">
        <v>23</v>
      </c>
      <c r="R29" s="12" t="s">
        <v>23</v>
      </c>
      <c r="S29" s="10" t="s">
        <v>23</v>
      </c>
    </row>
    <row r="30" spans="1:19" s="15" customFormat="1" ht="32" x14ac:dyDescent="0.2">
      <c r="A30" s="9">
        <v>27</v>
      </c>
      <c r="B30" s="9" t="s">
        <v>116</v>
      </c>
      <c r="C30" s="9" t="s">
        <v>121</v>
      </c>
      <c r="D30" s="9" t="s">
        <v>23</v>
      </c>
      <c r="E30" s="9" t="s">
        <v>21</v>
      </c>
      <c r="F30" s="9" t="s">
        <v>22</v>
      </c>
      <c r="G30" s="13">
        <v>38494</v>
      </c>
      <c r="H30" s="12">
        <v>2629</v>
      </c>
      <c r="I30" s="14" t="s">
        <v>119</v>
      </c>
      <c r="J30" s="9" t="s">
        <v>120</v>
      </c>
      <c r="K30" s="9" t="s">
        <v>23</v>
      </c>
      <c r="L30" s="9" t="s">
        <v>23</v>
      </c>
      <c r="M30" s="9" t="s">
        <v>23</v>
      </c>
      <c r="N30" s="12" t="s">
        <v>23</v>
      </c>
      <c r="O30" s="13" t="s">
        <v>23</v>
      </c>
      <c r="P30" s="12" t="s">
        <v>23</v>
      </c>
      <c r="Q30" s="12" t="s">
        <v>23</v>
      </c>
      <c r="R30" s="12" t="s">
        <v>23</v>
      </c>
      <c r="S30" s="10" t="s">
        <v>23</v>
      </c>
    </row>
    <row r="31" spans="1:19" s="15" customFormat="1" ht="16" x14ac:dyDescent="0.2">
      <c r="A31" s="9">
        <v>28</v>
      </c>
      <c r="B31" s="9" t="s">
        <v>184</v>
      </c>
      <c r="C31" s="9" t="s">
        <v>185</v>
      </c>
      <c r="D31" s="19">
        <v>37698</v>
      </c>
      <c r="E31" s="17" t="s">
        <v>21</v>
      </c>
      <c r="F31" s="9" t="s">
        <v>22</v>
      </c>
      <c r="G31" s="13">
        <v>37808</v>
      </c>
      <c r="H31" s="12" t="s">
        <v>192</v>
      </c>
      <c r="I31" s="14" t="s">
        <v>23</v>
      </c>
      <c r="J31" s="9" t="s">
        <v>186</v>
      </c>
      <c r="K31" s="9" t="s">
        <v>187</v>
      </c>
      <c r="L31" s="9" t="s">
        <v>188</v>
      </c>
      <c r="M31" s="9" t="s">
        <v>189</v>
      </c>
      <c r="N31" s="12" t="s">
        <v>23</v>
      </c>
      <c r="O31" s="13" t="s">
        <v>23</v>
      </c>
      <c r="P31" s="12" t="s">
        <v>23</v>
      </c>
      <c r="Q31" s="12" t="s">
        <v>190</v>
      </c>
      <c r="R31" s="12" t="s">
        <v>191</v>
      </c>
      <c r="S31" s="10" t="s">
        <v>23</v>
      </c>
    </row>
    <row r="32" spans="1:19" s="15" customFormat="1" ht="16" x14ac:dyDescent="0.2">
      <c r="A32" s="9">
        <v>29</v>
      </c>
      <c r="B32" s="9" t="s">
        <v>39</v>
      </c>
      <c r="C32" s="9" t="s">
        <v>40</v>
      </c>
      <c r="D32" s="9" t="s">
        <v>23</v>
      </c>
      <c r="E32" s="9" t="s">
        <v>21</v>
      </c>
      <c r="F32" s="9" t="s">
        <v>22</v>
      </c>
      <c r="G32" s="13">
        <v>37787</v>
      </c>
      <c r="H32" s="12" t="s">
        <v>23</v>
      </c>
      <c r="I32" s="14" t="s">
        <v>23</v>
      </c>
      <c r="J32" s="9" t="s">
        <v>41</v>
      </c>
      <c r="K32" s="9" t="s">
        <v>23</v>
      </c>
      <c r="L32" s="9" t="s">
        <v>23</v>
      </c>
      <c r="M32" s="9" t="s">
        <v>42</v>
      </c>
      <c r="N32" s="12" t="s">
        <v>23</v>
      </c>
      <c r="O32" s="13" t="s">
        <v>23</v>
      </c>
      <c r="P32" s="12" t="s">
        <v>23</v>
      </c>
      <c r="Q32" s="12" t="s">
        <v>23</v>
      </c>
      <c r="R32" s="12" t="s">
        <v>23</v>
      </c>
      <c r="S32" s="10" t="s">
        <v>23</v>
      </c>
    </row>
    <row r="33" spans="1:19" s="15" customFormat="1" ht="16" x14ac:dyDescent="0.2">
      <c r="A33" s="9">
        <v>30</v>
      </c>
      <c r="B33" s="9" t="s">
        <v>39</v>
      </c>
      <c r="C33" s="9" t="s">
        <v>49</v>
      </c>
      <c r="D33" s="9" t="s">
        <v>23</v>
      </c>
      <c r="E33" s="9" t="s">
        <v>21</v>
      </c>
      <c r="F33" s="9" t="s">
        <v>22</v>
      </c>
      <c r="G33" s="13">
        <v>36814</v>
      </c>
      <c r="H33" s="12" t="s">
        <v>23</v>
      </c>
      <c r="I33" s="14" t="s">
        <v>23</v>
      </c>
      <c r="J33" s="9" t="s">
        <v>50</v>
      </c>
      <c r="K33" s="9" t="s">
        <v>23</v>
      </c>
      <c r="L33" s="9" t="s">
        <v>23</v>
      </c>
      <c r="M33" s="9" t="s">
        <v>42</v>
      </c>
      <c r="N33" s="12" t="s">
        <v>23</v>
      </c>
      <c r="O33" s="13" t="s">
        <v>23</v>
      </c>
      <c r="P33" s="12" t="s">
        <v>23</v>
      </c>
      <c r="Q33" s="12" t="s">
        <v>23</v>
      </c>
      <c r="R33" s="12" t="s">
        <v>23</v>
      </c>
      <c r="S33" s="10" t="s">
        <v>23</v>
      </c>
    </row>
    <row r="34" spans="1:19" s="15" customFormat="1" ht="16" x14ac:dyDescent="0.2">
      <c r="A34" s="9">
        <v>31</v>
      </c>
      <c r="B34" s="9" t="s">
        <v>94</v>
      </c>
      <c r="C34" s="10" t="s">
        <v>95</v>
      </c>
      <c r="D34" s="11">
        <v>1</v>
      </c>
      <c r="E34" s="9" t="s">
        <v>21</v>
      </c>
      <c r="F34" s="9" t="s">
        <v>22</v>
      </c>
      <c r="G34" s="13">
        <v>36401</v>
      </c>
      <c r="H34" s="12">
        <v>869</v>
      </c>
      <c r="I34" s="14" t="s">
        <v>80</v>
      </c>
      <c r="J34" s="9" t="s">
        <v>96</v>
      </c>
      <c r="K34" s="9" t="s">
        <v>97</v>
      </c>
      <c r="L34" s="9" t="s">
        <v>97</v>
      </c>
      <c r="M34" s="9" t="s">
        <v>23</v>
      </c>
      <c r="N34" s="12" t="s">
        <v>23</v>
      </c>
      <c r="O34" s="13" t="s">
        <v>97</v>
      </c>
      <c r="P34" s="12" t="s">
        <v>97</v>
      </c>
      <c r="Q34" s="12" t="s">
        <v>97</v>
      </c>
      <c r="R34" s="12" t="s">
        <v>97</v>
      </c>
      <c r="S34" s="10" t="s">
        <v>97</v>
      </c>
    </row>
    <row r="35" spans="1:19" s="15" customFormat="1" ht="16" x14ac:dyDescent="0.2">
      <c r="A35" s="9">
        <v>32</v>
      </c>
      <c r="B35" s="9" t="s">
        <v>39</v>
      </c>
      <c r="C35" s="9" t="s">
        <v>56</v>
      </c>
      <c r="D35" s="9" t="s">
        <v>23</v>
      </c>
      <c r="E35" s="9" t="s">
        <v>21</v>
      </c>
      <c r="F35" s="9" t="s">
        <v>22</v>
      </c>
      <c r="G35" s="13">
        <v>35267</v>
      </c>
      <c r="H35" s="12" t="s">
        <v>23</v>
      </c>
      <c r="I35" s="14" t="s">
        <v>23</v>
      </c>
      <c r="J35" s="9" t="s">
        <v>57</v>
      </c>
      <c r="K35" s="9" t="s">
        <v>23</v>
      </c>
      <c r="L35" s="9" t="s">
        <v>23</v>
      </c>
      <c r="M35" s="9" t="s">
        <v>42</v>
      </c>
      <c r="N35" s="12" t="s">
        <v>23</v>
      </c>
      <c r="O35" s="13" t="s">
        <v>23</v>
      </c>
      <c r="P35" s="12" t="s">
        <v>23</v>
      </c>
      <c r="Q35" s="12" t="s">
        <v>23</v>
      </c>
      <c r="R35" s="12" t="s">
        <v>23</v>
      </c>
      <c r="S35" s="10" t="s">
        <v>23</v>
      </c>
    </row>
    <row r="36" spans="1:19" s="15" customFormat="1" ht="16" x14ac:dyDescent="0.2">
      <c r="A36" s="9">
        <v>33</v>
      </c>
      <c r="B36" s="9" t="s">
        <v>39</v>
      </c>
      <c r="C36" s="9" t="s">
        <v>54</v>
      </c>
      <c r="D36" s="9" t="s">
        <v>23</v>
      </c>
      <c r="E36" s="9" t="s">
        <v>21</v>
      </c>
      <c r="F36" s="9" t="s">
        <v>22</v>
      </c>
      <c r="G36" s="13">
        <v>35218</v>
      </c>
      <c r="H36" s="12" t="s">
        <v>23</v>
      </c>
      <c r="I36" s="14" t="s">
        <v>23</v>
      </c>
      <c r="J36" s="9" t="s">
        <v>55</v>
      </c>
      <c r="K36" s="9" t="s">
        <v>23</v>
      </c>
      <c r="L36" s="9" t="s">
        <v>23</v>
      </c>
      <c r="M36" s="9" t="s">
        <v>42</v>
      </c>
      <c r="N36" s="12" t="s">
        <v>23</v>
      </c>
      <c r="O36" s="13" t="s">
        <v>23</v>
      </c>
      <c r="P36" s="12" t="s">
        <v>23</v>
      </c>
      <c r="Q36" s="12" t="s">
        <v>23</v>
      </c>
      <c r="R36" s="12" t="s">
        <v>23</v>
      </c>
      <c r="S36" s="10" t="s">
        <v>23</v>
      </c>
    </row>
    <row r="37" spans="1:19" ht="128" x14ac:dyDescent="0.2">
      <c r="A37" s="9">
        <v>34</v>
      </c>
      <c r="B37" s="9" t="s">
        <v>73</v>
      </c>
      <c r="C37" s="9" t="s">
        <v>75</v>
      </c>
      <c r="D37" s="10" t="s">
        <v>23</v>
      </c>
      <c r="E37" s="9" t="s">
        <v>21</v>
      </c>
      <c r="F37" s="9" t="s">
        <v>22</v>
      </c>
      <c r="G37" s="13">
        <v>35190</v>
      </c>
      <c r="H37" s="12">
        <v>235</v>
      </c>
      <c r="I37" s="14" t="s">
        <v>80</v>
      </c>
      <c r="J37" s="9" t="s">
        <v>23</v>
      </c>
      <c r="K37" s="9" t="s">
        <v>76</v>
      </c>
      <c r="L37" s="9" t="s">
        <v>77</v>
      </c>
      <c r="M37" s="9" t="s">
        <v>23</v>
      </c>
      <c r="N37" s="12">
        <v>1775</v>
      </c>
      <c r="O37" s="13" t="s">
        <v>78</v>
      </c>
      <c r="P37" s="12" t="s">
        <v>79</v>
      </c>
      <c r="Q37" s="12">
        <v>381</v>
      </c>
      <c r="R37" s="12" t="s">
        <v>23</v>
      </c>
      <c r="S37" s="10" t="s">
        <v>23</v>
      </c>
    </row>
  </sheetData>
  <autoFilter ref="A3:S37" xr:uid="{00000000-0009-0000-0000-000000000000}">
    <sortState xmlns:xlrd2="http://schemas.microsoft.com/office/spreadsheetml/2017/richdata2" ref="A4:V40">
      <sortCondition descending="1" ref="G3:G40"/>
    </sortState>
  </autoFilter>
  <mergeCells count="1">
    <mergeCell ref="A1:S1"/>
  </mergeCells>
  <printOptions horizontalCentered="1"/>
  <pageMargins left="0.39370078740157483" right="0.39370078740157483" top="0.39370078740157483" bottom="0.39370078740157483" header="0" footer="0"/>
  <pageSetup paperSize="119" scale="8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0"/>
  <sheetViews>
    <sheetView tabSelected="1" topLeftCell="B1" zoomScale="90" zoomScaleNormal="90" zoomScaleSheetLayoutView="50" workbookViewId="0">
      <pane ySplit="1" topLeftCell="A2" activePane="bottomLeft" state="frozen"/>
      <selection pane="bottomLeft" activeCell="H1" sqref="H1:H1048576"/>
    </sheetView>
  </sheetViews>
  <sheetFormatPr baseColWidth="10" defaultColWidth="5.6640625" defaultRowHeight="15" x14ac:dyDescent="0.2"/>
  <cols>
    <col min="1" max="1" width="4.83203125" style="1" bestFit="1" customWidth="1"/>
    <col min="2" max="2" width="22" style="21" customWidth="1"/>
    <col min="3" max="3" width="21.33203125" style="1" bestFit="1" customWidth="1"/>
    <col min="4" max="4" width="20.1640625" style="1" bestFit="1" customWidth="1"/>
    <col min="5" max="5" width="35.83203125" style="1" bestFit="1" customWidth="1"/>
    <col min="6" max="6" width="30.5" style="1" bestFit="1" customWidth="1"/>
    <col min="7" max="7" width="17.5" style="22" customWidth="1"/>
    <col min="8" max="8" width="10.83203125" style="22" customWidth="1"/>
    <col min="9" max="9" width="19.1640625" style="22" bestFit="1" customWidth="1"/>
    <col min="10" max="10" width="9.5" style="22" customWidth="1"/>
    <col min="11" max="12" width="10.5" style="22" bestFit="1" customWidth="1"/>
    <col min="13" max="13" width="12.5" style="22" bestFit="1" customWidth="1"/>
    <col min="14" max="14" width="10.5" style="22" bestFit="1" customWidth="1"/>
    <col min="15" max="18" width="10.83203125" style="22" customWidth="1"/>
    <col min="19" max="19" width="11.83203125" style="22" customWidth="1"/>
    <col min="20" max="16384" width="5.6640625" style="1"/>
  </cols>
  <sheetData>
    <row r="1" spans="1:19" ht="30" customHeight="1" x14ac:dyDescent="0.2">
      <c r="A1" s="25" t="s">
        <v>0</v>
      </c>
      <c r="B1" s="27" t="s">
        <v>259</v>
      </c>
      <c r="C1" s="25" t="s">
        <v>1</v>
      </c>
      <c r="D1" s="25" t="s">
        <v>2</v>
      </c>
      <c r="E1" s="25" t="s">
        <v>4</v>
      </c>
      <c r="F1" s="25" t="s">
        <v>5</v>
      </c>
      <c r="G1" s="26" t="s">
        <v>9</v>
      </c>
      <c r="H1" s="26" t="s">
        <v>215</v>
      </c>
      <c r="I1" s="26" t="s">
        <v>220</v>
      </c>
      <c r="J1" s="26" t="s">
        <v>216</v>
      </c>
      <c r="K1" s="26" t="s">
        <v>217</v>
      </c>
      <c r="L1" s="26" t="s">
        <v>251</v>
      </c>
      <c r="M1" s="26" t="s">
        <v>252</v>
      </c>
      <c r="N1" s="26" t="s">
        <v>251</v>
      </c>
      <c r="O1" s="26" t="s">
        <v>74</v>
      </c>
      <c r="P1" s="26" t="s">
        <v>214</v>
      </c>
      <c r="Q1" s="26" t="s">
        <v>221</v>
      </c>
      <c r="R1" s="26" t="s">
        <v>218</v>
      </c>
      <c r="S1" s="26" t="s">
        <v>219</v>
      </c>
    </row>
    <row r="2" spans="1:19" s="15" customFormat="1" ht="32" x14ac:dyDescent="0.2">
      <c r="A2" s="9">
        <v>1</v>
      </c>
      <c r="B2" s="13">
        <v>43359</v>
      </c>
      <c r="C2" s="9" t="s">
        <v>232</v>
      </c>
      <c r="D2" s="10" t="s">
        <v>267</v>
      </c>
      <c r="E2" s="9" t="s">
        <v>21</v>
      </c>
      <c r="F2" s="9" t="s">
        <v>22</v>
      </c>
      <c r="G2" s="12" t="str">
        <f t="shared" ref="G2:G21" si="0">IF(K2&lt;J2,"NO PROSPERO POR UMBRAL",IF(K2&gt;J2,IF((K2&gt;I2)&gt;((O2*40%)+1),"PROSPERÓ REVOCATORIA"),"NO PROSPERO POR VOTACIÓN"))</f>
        <v>NO PROSPERO POR UMBRAL</v>
      </c>
      <c r="H2" s="12">
        <v>5814</v>
      </c>
      <c r="I2" s="12">
        <v>3658</v>
      </c>
      <c r="J2" s="12">
        <f t="shared" ref="J2:J8" si="1">ROUNDUP(I2*40%,0)</f>
        <v>1464</v>
      </c>
      <c r="K2" s="12">
        <f t="shared" ref="K2" si="2">SUM(O2:S2)</f>
        <v>17</v>
      </c>
      <c r="L2" s="28">
        <f t="shared" ref="L2" si="3">K2/H2</f>
        <v>2.9239766081871343E-3</v>
      </c>
      <c r="M2" s="12">
        <f t="shared" ref="M2" si="4">H2-K2</f>
        <v>5797</v>
      </c>
      <c r="N2" s="28">
        <f t="shared" ref="N2" si="5">M2/H2</f>
        <v>0.99707602339181289</v>
      </c>
      <c r="O2" s="12">
        <v>14</v>
      </c>
      <c r="P2" s="12">
        <v>1</v>
      </c>
      <c r="Q2" s="12" t="s">
        <v>222</v>
      </c>
      <c r="R2" s="12">
        <v>0</v>
      </c>
      <c r="S2" s="12">
        <v>2</v>
      </c>
    </row>
    <row r="3" spans="1:19" s="15" customFormat="1" ht="32" x14ac:dyDescent="0.2">
      <c r="A3" s="9">
        <v>2</v>
      </c>
      <c r="B3" s="13">
        <v>43352</v>
      </c>
      <c r="C3" s="9" t="s">
        <v>256</v>
      </c>
      <c r="D3" s="10" t="s">
        <v>266</v>
      </c>
      <c r="E3" s="9" t="s">
        <v>21</v>
      </c>
      <c r="F3" s="9" t="s">
        <v>22</v>
      </c>
      <c r="G3" s="12" t="str">
        <f t="shared" si="0"/>
        <v>NO PROSPERO POR UMBRAL</v>
      </c>
      <c r="H3" s="12">
        <v>22033</v>
      </c>
      <c r="I3" s="12">
        <v>13006</v>
      </c>
      <c r="J3" s="12">
        <f t="shared" si="1"/>
        <v>5203</v>
      </c>
      <c r="K3" s="12">
        <f t="shared" ref="K3" si="6">SUM(O3:S3)</f>
        <v>3338</v>
      </c>
      <c r="L3" s="28">
        <f t="shared" ref="L3" si="7">K3/H3</f>
        <v>0.15150002269323287</v>
      </c>
      <c r="M3" s="12">
        <f t="shared" ref="M3" si="8">H3-K3</f>
        <v>18695</v>
      </c>
      <c r="N3" s="28">
        <f t="shared" ref="N3" si="9">M3/H3</f>
        <v>0.84849997730676707</v>
      </c>
      <c r="O3" s="12">
        <v>3240</v>
      </c>
      <c r="P3" s="12">
        <v>82</v>
      </c>
      <c r="Q3" s="12" t="s">
        <v>222</v>
      </c>
      <c r="R3" s="12">
        <v>8</v>
      </c>
      <c r="S3" s="12">
        <v>8</v>
      </c>
    </row>
    <row r="4" spans="1:19" s="15" customFormat="1" ht="32" x14ac:dyDescent="0.2">
      <c r="A4" s="9">
        <v>3</v>
      </c>
      <c r="B4" s="13">
        <v>43331</v>
      </c>
      <c r="C4" s="9" t="s">
        <v>32</v>
      </c>
      <c r="D4" s="10" t="s">
        <v>264</v>
      </c>
      <c r="E4" s="9" t="s">
        <v>21</v>
      </c>
      <c r="F4" s="9" t="s">
        <v>22</v>
      </c>
      <c r="G4" s="12" t="str">
        <f t="shared" si="0"/>
        <v>NO PROSPERO POR UMBRAL</v>
      </c>
      <c r="H4" s="12">
        <v>10062</v>
      </c>
      <c r="I4" s="12">
        <v>6709</v>
      </c>
      <c r="J4" s="12">
        <f t="shared" si="1"/>
        <v>2684</v>
      </c>
      <c r="K4" s="12">
        <f t="shared" ref="K4:K8" si="10">SUM(O4:S4)</f>
        <v>1166</v>
      </c>
      <c r="L4" s="28">
        <f t="shared" ref="L4:L8" si="11">K4/H4</f>
        <v>0.11588153448618566</v>
      </c>
      <c r="M4" s="12">
        <f t="shared" ref="M4:M8" si="12">H4-K4</f>
        <v>8896</v>
      </c>
      <c r="N4" s="28">
        <f t="shared" ref="N4:N8" si="13">M4/H4</f>
        <v>0.88411846551381434</v>
      </c>
      <c r="O4" s="12">
        <v>1128</v>
      </c>
      <c r="P4" s="12">
        <v>14</v>
      </c>
      <c r="Q4" s="12" t="s">
        <v>222</v>
      </c>
      <c r="R4" s="12">
        <v>2</v>
      </c>
      <c r="S4" s="12">
        <v>22</v>
      </c>
    </row>
    <row r="5" spans="1:19" s="15" customFormat="1" ht="32" x14ac:dyDescent="0.2">
      <c r="A5" s="9">
        <v>4</v>
      </c>
      <c r="B5" s="13">
        <v>43324</v>
      </c>
      <c r="C5" s="9" t="s">
        <v>158</v>
      </c>
      <c r="D5" s="10" t="s">
        <v>263</v>
      </c>
      <c r="E5" s="9" t="s">
        <v>21</v>
      </c>
      <c r="F5" s="9" t="s">
        <v>22</v>
      </c>
      <c r="G5" s="12" t="str">
        <f t="shared" si="0"/>
        <v>NO PROSPERO POR UMBRAL</v>
      </c>
      <c r="H5" s="12">
        <v>16827</v>
      </c>
      <c r="I5" s="12">
        <v>10811</v>
      </c>
      <c r="J5" s="12">
        <f t="shared" si="1"/>
        <v>4325</v>
      </c>
      <c r="K5" s="12">
        <f t="shared" si="10"/>
        <v>2162</v>
      </c>
      <c r="L5" s="28">
        <f t="shared" si="11"/>
        <v>0.12848398407321568</v>
      </c>
      <c r="M5" s="12">
        <f t="shared" si="12"/>
        <v>14665</v>
      </c>
      <c r="N5" s="28">
        <f t="shared" si="13"/>
        <v>0.87151601592678429</v>
      </c>
      <c r="O5" s="12">
        <v>2069</v>
      </c>
      <c r="P5" s="12">
        <v>63</v>
      </c>
      <c r="Q5" s="12" t="s">
        <v>222</v>
      </c>
      <c r="R5" s="12">
        <v>18</v>
      </c>
      <c r="S5" s="12">
        <v>12</v>
      </c>
    </row>
    <row r="6" spans="1:19" s="15" customFormat="1" ht="32" x14ac:dyDescent="0.2">
      <c r="A6" s="9">
        <v>5</v>
      </c>
      <c r="B6" s="13">
        <v>43310</v>
      </c>
      <c r="C6" s="9" t="s">
        <v>73</v>
      </c>
      <c r="D6" s="10" t="s">
        <v>261</v>
      </c>
      <c r="E6" s="9" t="s">
        <v>21</v>
      </c>
      <c r="F6" s="9" t="s">
        <v>22</v>
      </c>
      <c r="G6" s="12" t="str">
        <f t="shared" si="0"/>
        <v>NO PROSPERO POR UMBRAL</v>
      </c>
      <c r="H6" s="12">
        <v>92303</v>
      </c>
      <c r="I6" s="12">
        <v>55509</v>
      </c>
      <c r="J6" s="12">
        <f t="shared" si="1"/>
        <v>22204</v>
      </c>
      <c r="K6" s="12">
        <f t="shared" si="10"/>
        <v>3480</v>
      </c>
      <c r="L6" s="28">
        <f t="shared" si="11"/>
        <v>3.7701916514089467E-2</v>
      </c>
      <c r="M6" s="12">
        <f t="shared" si="12"/>
        <v>88823</v>
      </c>
      <c r="N6" s="28">
        <f t="shared" si="13"/>
        <v>0.9622980834859105</v>
      </c>
      <c r="O6" s="12">
        <v>2930</v>
      </c>
      <c r="P6" s="12">
        <v>516</v>
      </c>
      <c r="Q6" s="12" t="s">
        <v>222</v>
      </c>
      <c r="R6" s="12">
        <v>17</v>
      </c>
      <c r="S6" s="12">
        <v>17</v>
      </c>
    </row>
    <row r="7" spans="1:19" s="15" customFormat="1" ht="32" x14ac:dyDescent="0.2">
      <c r="A7" s="9">
        <v>6</v>
      </c>
      <c r="B7" s="13">
        <v>43310</v>
      </c>
      <c r="C7" s="9" t="s">
        <v>73</v>
      </c>
      <c r="D7" s="10" t="s">
        <v>262</v>
      </c>
      <c r="E7" s="9" t="s">
        <v>21</v>
      </c>
      <c r="F7" s="9" t="s">
        <v>22</v>
      </c>
      <c r="G7" s="12" t="str">
        <f t="shared" si="0"/>
        <v>PROSPERÓ REVOCATORIA</v>
      </c>
      <c r="H7" s="12">
        <v>4816</v>
      </c>
      <c r="I7" s="12">
        <v>3455</v>
      </c>
      <c r="J7" s="12">
        <f t="shared" si="1"/>
        <v>1382</v>
      </c>
      <c r="K7" s="12">
        <f t="shared" si="10"/>
        <v>1658</v>
      </c>
      <c r="L7" s="28">
        <f t="shared" si="11"/>
        <v>0.34426910299003322</v>
      </c>
      <c r="M7" s="12">
        <f t="shared" si="12"/>
        <v>3158</v>
      </c>
      <c r="N7" s="28">
        <f t="shared" si="13"/>
        <v>0.65573089700996678</v>
      </c>
      <c r="O7" s="12">
        <v>1609</v>
      </c>
      <c r="P7" s="12">
        <v>21</v>
      </c>
      <c r="Q7" s="12" t="s">
        <v>222</v>
      </c>
      <c r="R7" s="12">
        <v>9</v>
      </c>
      <c r="S7" s="12">
        <v>19</v>
      </c>
    </row>
    <row r="8" spans="1:19" s="15" customFormat="1" ht="32" x14ac:dyDescent="0.2">
      <c r="A8" s="9">
        <v>7</v>
      </c>
      <c r="B8" s="13">
        <v>43296</v>
      </c>
      <c r="C8" s="9" t="s">
        <v>116</v>
      </c>
      <c r="D8" s="10" t="s">
        <v>260</v>
      </c>
      <c r="E8" s="9" t="s">
        <v>21</v>
      </c>
      <c r="F8" s="9" t="s">
        <v>22</v>
      </c>
      <c r="G8" s="12" t="str">
        <f t="shared" si="0"/>
        <v>NO PROSPERO POR UMBRAL</v>
      </c>
      <c r="H8" s="12">
        <v>36172</v>
      </c>
      <c r="I8" s="12">
        <v>25126</v>
      </c>
      <c r="J8" s="12">
        <f t="shared" si="1"/>
        <v>10051</v>
      </c>
      <c r="K8" s="12">
        <f t="shared" si="10"/>
        <v>1936</v>
      </c>
      <c r="L8" s="28">
        <f t="shared" si="11"/>
        <v>5.3522061262855247E-2</v>
      </c>
      <c r="M8" s="12">
        <f t="shared" si="12"/>
        <v>34236</v>
      </c>
      <c r="N8" s="28">
        <f t="shared" si="13"/>
        <v>0.94647793873714481</v>
      </c>
      <c r="O8" s="12">
        <v>1872</v>
      </c>
      <c r="P8" s="12">
        <v>45</v>
      </c>
      <c r="Q8" s="12" t="s">
        <v>222</v>
      </c>
      <c r="R8" s="12">
        <v>6</v>
      </c>
      <c r="S8" s="12">
        <v>13</v>
      </c>
    </row>
    <row r="9" spans="1:19" s="15" customFormat="1" ht="32" x14ac:dyDescent="0.2">
      <c r="A9" s="9">
        <v>8</v>
      </c>
      <c r="B9" s="13">
        <v>43002</v>
      </c>
      <c r="C9" s="9" t="s">
        <v>256</v>
      </c>
      <c r="D9" s="10" t="s">
        <v>257</v>
      </c>
      <c r="E9" s="9" t="s">
        <v>21</v>
      </c>
      <c r="F9" s="9" t="s">
        <v>22</v>
      </c>
      <c r="G9" s="12" t="str">
        <f t="shared" si="0"/>
        <v>NO PROSPERO POR UMBRAL</v>
      </c>
      <c r="H9" s="12">
        <v>83141</v>
      </c>
      <c r="I9" s="12">
        <v>48125</v>
      </c>
      <c r="J9" s="12">
        <f t="shared" ref="J9" si="14">ROUNDUP(I9*40%,0)</f>
        <v>19250</v>
      </c>
      <c r="K9" s="12">
        <f t="shared" ref="K9" si="15">SUM(O9:S9)</f>
        <v>9062</v>
      </c>
      <c r="L9" s="28">
        <f>K9/H9</f>
        <v>0.10899556175653408</v>
      </c>
      <c r="M9" s="12">
        <f>H9-K9</f>
        <v>74079</v>
      </c>
      <c r="N9" s="28">
        <f>M9/H9</f>
        <v>0.89100443824346587</v>
      </c>
      <c r="O9" s="12">
        <v>8574</v>
      </c>
      <c r="P9" s="12">
        <v>400</v>
      </c>
      <c r="Q9" s="12" t="s">
        <v>222</v>
      </c>
      <c r="R9" s="12">
        <v>55</v>
      </c>
      <c r="S9" s="12">
        <v>33</v>
      </c>
    </row>
    <row r="10" spans="1:19" s="15" customFormat="1" ht="32" x14ac:dyDescent="0.2">
      <c r="A10" s="9">
        <v>9</v>
      </c>
      <c r="B10" s="13">
        <v>42988</v>
      </c>
      <c r="C10" s="9" t="s">
        <v>94</v>
      </c>
      <c r="D10" s="10" t="s">
        <v>258</v>
      </c>
      <c r="E10" s="9" t="s">
        <v>21</v>
      </c>
      <c r="F10" s="9" t="s">
        <v>22</v>
      </c>
      <c r="G10" s="12" t="str">
        <f t="shared" si="0"/>
        <v>NO PROSPERO POR UMBRAL</v>
      </c>
      <c r="H10" s="12">
        <v>38484</v>
      </c>
      <c r="I10" s="12">
        <v>22272</v>
      </c>
      <c r="J10" s="12">
        <f>ROUNDUP(I10*40%,0)</f>
        <v>8909</v>
      </c>
      <c r="K10" s="12">
        <f t="shared" ref="K10" si="16">SUM(O10:S10)</f>
        <v>3591</v>
      </c>
      <c r="L10" s="28">
        <f>K10/H10</f>
        <v>9.3311506080449011E-2</v>
      </c>
      <c r="M10" s="12">
        <f>H10-K10</f>
        <v>34893</v>
      </c>
      <c r="N10" s="28">
        <f>M10/H10</f>
        <v>0.90668849391955098</v>
      </c>
      <c r="O10" s="12">
        <v>3334</v>
      </c>
      <c r="P10" s="12">
        <v>200</v>
      </c>
      <c r="Q10" s="12" t="s">
        <v>222</v>
      </c>
      <c r="R10" s="12">
        <v>21</v>
      </c>
      <c r="S10" s="12">
        <v>36</v>
      </c>
    </row>
    <row r="11" spans="1:19" s="15" customFormat="1" ht="32" x14ac:dyDescent="0.2">
      <c r="A11" s="9">
        <v>10</v>
      </c>
      <c r="B11" s="13">
        <v>42960</v>
      </c>
      <c r="C11" s="9" t="s">
        <v>152</v>
      </c>
      <c r="D11" s="10" t="s">
        <v>153</v>
      </c>
      <c r="E11" s="9" t="s">
        <v>21</v>
      </c>
      <c r="F11" s="9" t="s">
        <v>22</v>
      </c>
      <c r="G11" s="12" t="str">
        <f t="shared" si="0"/>
        <v>NO PROSPERO POR UMBRAL</v>
      </c>
      <c r="H11" s="12">
        <v>7095</v>
      </c>
      <c r="I11" s="12">
        <v>5081</v>
      </c>
      <c r="J11" s="12">
        <f t="shared" ref="J11" si="17">ROUNDUP(I11*40%,0)</f>
        <v>2033</v>
      </c>
      <c r="K11" s="12">
        <f t="shared" ref="K11" si="18">SUM(O11:S11)</f>
        <v>1645</v>
      </c>
      <c r="L11" s="28">
        <f t="shared" ref="L11:L14" si="19">K11/H11</f>
        <v>0.23185341789992953</v>
      </c>
      <c r="M11" s="12">
        <f t="shared" ref="M11:M14" si="20">H11-K11</f>
        <v>5450</v>
      </c>
      <c r="N11" s="28">
        <f t="shared" ref="N11:N14" si="21">M11/H11</f>
        <v>0.76814658210007047</v>
      </c>
      <c r="O11" s="12">
        <v>1541</v>
      </c>
      <c r="P11" s="12">
        <v>41</v>
      </c>
      <c r="Q11" s="12" t="s">
        <v>222</v>
      </c>
      <c r="R11" s="12">
        <v>25</v>
      </c>
      <c r="S11" s="12">
        <v>38</v>
      </c>
    </row>
    <row r="12" spans="1:19" s="15" customFormat="1" ht="32" x14ac:dyDescent="0.2">
      <c r="A12" s="9">
        <v>11</v>
      </c>
      <c r="B12" s="13">
        <v>42946</v>
      </c>
      <c r="C12" s="9" t="s">
        <v>253</v>
      </c>
      <c r="D12" s="10" t="s">
        <v>254</v>
      </c>
      <c r="E12" s="9" t="s">
        <v>21</v>
      </c>
      <c r="F12" s="9" t="s">
        <v>22</v>
      </c>
      <c r="G12" s="12" t="str">
        <f t="shared" si="0"/>
        <v>NO PROSPERO POR UMBRAL</v>
      </c>
      <c r="H12" s="12">
        <v>17942</v>
      </c>
      <c r="I12" s="12">
        <v>9008</v>
      </c>
      <c r="J12" s="12">
        <f t="shared" ref="J12:J20" si="22">ROUNDUP(I12*40%,0)</f>
        <v>3604</v>
      </c>
      <c r="K12" s="12">
        <f t="shared" ref="K12" si="23">SUM(O12:S12)</f>
        <v>1916</v>
      </c>
      <c r="L12" s="28">
        <f t="shared" si="19"/>
        <v>0.10678854085386244</v>
      </c>
      <c r="M12" s="12">
        <f t="shared" si="20"/>
        <v>16026</v>
      </c>
      <c r="N12" s="28">
        <f t="shared" si="21"/>
        <v>0.89321145914613753</v>
      </c>
      <c r="O12" s="12">
        <v>1700</v>
      </c>
      <c r="P12" s="12">
        <v>115</v>
      </c>
      <c r="Q12" s="12" t="s">
        <v>222</v>
      </c>
      <c r="R12" s="12">
        <v>45</v>
      </c>
      <c r="S12" s="12">
        <v>56</v>
      </c>
    </row>
    <row r="13" spans="1:19" s="15" customFormat="1" ht="32" x14ac:dyDescent="0.2">
      <c r="A13" s="9">
        <v>12</v>
      </c>
      <c r="B13" s="13">
        <v>42946</v>
      </c>
      <c r="C13" s="9" t="s">
        <v>152</v>
      </c>
      <c r="D13" s="10" t="s">
        <v>255</v>
      </c>
      <c r="E13" s="9" t="s">
        <v>21</v>
      </c>
      <c r="F13" s="9" t="s">
        <v>22</v>
      </c>
      <c r="G13" s="12" t="str">
        <f t="shared" si="0"/>
        <v>NO PROSPERO POR UMBRAL</v>
      </c>
      <c r="H13" s="12">
        <v>18165</v>
      </c>
      <c r="I13" s="12">
        <v>11309</v>
      </c>
      <c r="J13" s="12">
        <f t="shared" si="22"/>
        <v>4524</v>
      </c>
      <c r="K13" s="12">
        <f t="shared" ref="K13" si="24">SUM(O13:S13)</f>
        <v>2653</v>
      </c>
      <c r="L13" s="28">
        <f t="shared" si="19"/>
        <v>0.14605009633911367</v>
      </c>
      <c r="M13" s="12">
        <f t="shared" si="20"/>
        <v>15512</v>
      </c>
      <c r="N13" s="28">
        <f t="shared" si="21"/>
        <v>0.8539499036608863</v>
      </c>
      <c r="O13" s="12">
        <v>2340</v>
      </c>
      <c r="P13" s="12">
        <v>139</v>
      </c>
      <c r="Q13" s="12" t="s">
        <v>222</v>
      </c>
      <c r="R13" s="12">
        <v>79</v>
      </c>
      <c r="S13" s="12">
        <v>95</v>
      </c>
    </row>
    <row r="14" spans="1:19" s="15" customFormat="1" ht="32" x14ac:dyDescent="0.2">
      <c r="A14" s="9">
        <v>13</v>
      </c>
      <c r="B14" s="13">
        <v>42925</v>
      </c>
      <c r="C14" s="9" t="s">
        <v>184</v>
      </c>
      <c r="D14" s="10" t="s">
        <v>249</v>
      </c>
      <c r="E14" s="9" t="s">
        <v>21</v>
      </c>
      <c r="F14" s="9" t="s">
        <v>22</v>
      </c>
      <c r="G14" s="12" t="str">
        <f t="shared" si="0"/>
        <v>NO PROSPERO POR UMBRAL</v>
      </c>
      <c r="H14" s="12">
        <v>9850</v>
      </c>
      <c r="I14" s="12">
        <v>7359</v>
      </c>
      <c r="J14" s="12">
        <f t="shared" si="22"/>
        <v>2944</v>
      </c>
      <c r="K14" s="12">
        <f t="shared" ref="K14" si="25">SUM(O14:S14)</f>
        <v>1586</v>
      </c>
      <c r="L14" s="28">
        <f t="shared" si="19"/>
        <v>0.16101522842639593</v>
      </c>
      <c r="M14" s="12">
        <f t="shared" si="20"/>
        <v>8264</v>
      </c>
      <c r="N14" s="28">
        <f t="shared" si="21"/>
        <v>0.83898477157360407</v>
      </c>
      <c r="O14" s="12">
        <v>1493</v>
      </c>
      <c r="P14" s="12">
        <v>48</v>
      </c>
      <c r="Q14" s="12" t="s">
        <v>222</v>
      </c>
      <c r="R14" s="12">
        <v>20</v>
      </c>
      <c r="S14" s="12">
        <v>25</v>
      </c>
    </row>
    <row r="15" spans="1:19" s="15" customFormat="1" ht="32" x14ac:dyDescent="0.2">
      <c r="A15" s="9">
        <v>14</v>
      </c>
      <c r="B15" s="13">
        <v>42925</v>
      </c>
      <c r="C15" s="9" t="s">
        <v>32</v>
      </c>
      <c r="D15" s="10" t="s">
        <v>248</v>
      </c>
      <c r="E15" s="9" t="s">
        <v>21</v>
      </c>
      <c r="F15" s="9" t="s">
        <v>22</v>
      </c>
      <c r="G15" s="12" t="str">
        <f t="shared" si="0"/>
        <v>NO PROSPERO POR UMBRAL</v>
      </c>
      <c r="H15" s="12">
        <v>54384</v>
      </c>
      <c r="I15" s="12">
        <v>33222</v>
      </c>
      <c r="J15" s="12">
        <f t="shared" si="22"/>
        <v>13289</v>
      </c>
      <c r="K15" s="12">
        <f t="shared" ref="K15" si="26">SUM(O15:S15)</f>
        <v>6418</v>
      </c>
      <c r="L15" s="28">
        <f t="shared" ref="L15:L70" si="27">K15/H15</f>
        <v>0.11801265077964107</v>
      </c>
      <c r="M15" s="12">
        <f t="shared" ref="M15:M55" si="28">H15-K15</f>
        <v>47966</v>
      </c>
      <c r="N15" s="28">
        <f t="shared" ref="N15:N55" si="29">M15/H15</f>
        <v>0.88198734922035893</v>
      </c>
      <c r="O15" s="12">
        <v>5657</v>
      </c>
      <c r="P15" s="12">
        <v>448</v>
      </c>
      <c r="Q15" s="12" t="s">
        <v>222</v>
      </c>
      <c r="R15" s="12">
        <v>131</v>
      </c>
      <c r="S15" s="12">
        <v>182</v>
      </c>
    </row>
    <row r="16" spans="1:19" s="15" customFormat="1" ht="32" x14ac:dyDescent="0.2">
      <c r="A16" s="9">
        <v>15</v>
      </c>
      <c r="B16" s="13">
        <v>42918</v>
      </c>
      <c r="C16" s="9" t="s">
        <v>237</v>
      </c>
      <c r="D16" s="10" t="s">
        <v>250</v>
      </c>
      <c r="E16" s="9" t="s">
        <v>21</v>
      </c>
      <c r="F16" s="9" t="s">
        <v>22</v>
      </c>
      <c r="G16" s="12" t="str">
        <f t="shared" si="0"/>
        <v>NO PROSPERO POR UMBRAL</v>
      </c>
      <c r="H16" s="12">
        <v>169907</v>
      </c>
      <c r="I16" s="12">
        <v>110604</v>
      </c>
      <c r="J16" s="12">
        <f t="shared" si="22"/>
        <v>44242</v>
      </c>
      <c r="K16" s="12">
        <f t="shared" ref="K16" si="30">SUM(O16:S16)</f>
        <v>16898</v>
      </c>
      <c r="L16" s="28">
        <f t="shared" si="27"/>
        <v>9.9454407411113138E-2</v>
      </c>
      <c r="M16" s="12">
        <f t="shared" si="28"/>
        <v>153009</v>
      </c>
      <c r="N16" s="28">
        <f t="shared" si="29"/>
        <v>0.90054559258888689</v>
      </c>
      <c r="O16" s="12">
        <v>15347</v>
      </c>
      <c r="P16" s="12">
        <v>1312</v>
      </c>
      <c r="Q16" s="12" t="s">
        <v>222</v>
      </c>
      <c r="R16" s="12">
        <v>172</v>
      </c>
      <c r="S16" s="12">
        <v>67</v>
      </c>
    </row>
    <row r="17" spans="1:19" s="15" customFormat="1" ht="32" x14ac:dyDescent="0.2">
      <c r="A17" s="9">
        <v>16</v>
      </c>
      <c r="B17" s="13">
        <v>42918</v>
      </c>
      <c r="C17" s="9" t="s">
        <v>232</v>
      </c>
      <c r="D17" s="10" t="s">
        <v>247</v>
      </c>
      <c r="E17" s="9" t="s">
        <v>21</v>
      </c>
      <c r="F17" s="9" t="s">
        <v>22</v>
      </c>
      <c r="G17" s="12" t="str">
        <f t="shared" si="0"/>
        <v>NO PROSPERO POR UMBRAL</v>
      </c>
      <c r="H17" s="12">
        <v>8438</v>
      </c>
      <c r="I17" s="12">
        <v>5115</v>
      </c>
      <c r="J17" s="12">
        <f t="shared" si="22"/>
        <v>2046</v>
      </c>
      <c r="K17" s="12">
        <f t="shared" ref="K17:K18" si="31">SUM(O17:S17)</f>
        <v>799</v>
      </c>
      <c r="L17" s="28">
        <f t="shared" si="27"/>
        <v>9.469068499644466E-2</v>
      </c>
      <c r="M17" s="12">
        <f t="shared" si="28"/>
        <v>7639</v>
      </c>
      <c r="N17" s="28">
        <f t="shared" si="29"/>
        <v>0.90530931500355538</v>
      </c>
      <c r="O17" s="12">
        <v>757</v>
      </c>
      <c r="P17" s="12">
        <v>24</v>
      </c>
      <c r="Q17" s="12" t="s">
        <v>222</v>
      </c>
      <c r="R17" s="12">
        <v>3</v>
      </c>
      <c r="S17" s="12">
        <v>15</v>
      </c>
    </row>
    <row r="18" spans="1:19" s="15" customFormat="1" ht="32" x14ac:dyDescent="0.2">
      <c r="A18" s="9">
        <v>17</v>
      </c>
      <c r="B18" s="13">
        <v>42910</v>
      </c>
      <c r="C18" s="9" t="s">
        <v>32</v>
      </c>
      <c r="D18" s="10" t="s">
        <v>268</v>
      </c>
      <c r="E18" s="9" t="s">
        <v>21</v>
      </c>
      <c r="F18" s="9" t="s">
        <v>22</v>
      </c>
      <c r="G18" s="12" t="str">
        <f t="shared" ref="G18" si="32">IF(K18&lt;J18,"NO PROSPERO POR UMBRAL",IF(K18&gt;J18,IF((K18&gt;I18)&gt;((O18*40%)+1),"PROSPERÓ REVOCATORIA"),"NO PROSPERO POR VOTACIÓN"))</f>
        <v>NO PROSPERO POR UMBRAL</v>
      </c>
      <c r="H18" s="12">
        <v>6360</v>
      </c>
      <c r="I18" s="12">
        <v>4008</v>
      </c>
      <c r="J18" s="12">
        <f t="shared" ref="J18" si="33">ROUNDUP(I18*40%,0)</f>
        <v>1604</v>
      </c>
      <c r="K18" s="12">
        <f t="shared" si="31"/>
        <v>382</v>
      </c>
      <c r="L18" s="28">
        <f t="shared" ref="L18" si="34">K18/H18</f>
        <v>6.0062893081761007E-2</v>
      </c>
      <c r="M18" s="12">
        <f t="shared" ref="M18" si="35">H18-K18</f>
        <v>5978</v>
      </c>
      <c r="N18" s="28">
        <f t="shared" ref="N18" si="36">M18/H18</f>
        <v>0.93993710691823895</v>
      </c>
      <c r="O18" s="12">
        <v>327</v>
      </c>
      <c r="P18" s="12">
        <v>39</v>
      </c>
      <c r="Q18" s="12" t="s">
        <v>222</v>
      </c>
      <c r="R18" s="12">
        <v>2</v>
      </c>
      <c r="S18" s="12">
        <v>14</v>
      </c>
    </row>
    <row r="19" spans="1:19" s="15" customFormat="1" ht="32" x14ac:dyDescent="0.2">
      <c r="A19" s="9">
        <v>18</v>
      </c>
      <c r="B19" s="13">
        <v>42890</v>
      </c>
      <c r="C19" s="9" t="s">
        <v>184</v>
      </c>
      <c r="D19" s="10" t="s">
        <v>246</v>
      </c>
      <c r="E19" s="9" t="s">
        <v>21</v>
      </c>
      <c r="F19" s="9" t="s">
        <v>22</v>
      </c>
      <c r="G19" s="12" t="str">
        <f t="shared" si="0"/>
        <v>NO PROSPERO POR UMBRAL</v>
      </c>
      <c r="H19" s="12">
        <v>18639</v>
      </c>
      <c r="I19" s="12">
        <v>14113</v>
      </c>
      <c r="J19" s="12">
        <f t="shared" si="22"/>
        <v>5646</v>
      </c>
      <c r="K19" s="12">
        <f t="shared" ref="K19:K21" si="37">SUM(O19:S19)</f>
        <v>4913</v>
      </c>
      <c r="L19" s="28">
        <f t="shared" si="27"/>
        <v>0.26358710231235583</v>
      </c>
      <c r="M19" s="12">
        <f t="shared" si="28"/>
        <v>13726</v>
      </c>
      <c r="N19" s="28">
        <f t="shared" si="29"/>
        <v>0.73641289768764417</v>
      </c>
      <c r="O19" s="12">
        <v>4293</v>
      </c>
      <c r="P19" s="12">
        <v>107</v>
      </c>
      <c r="Q19" s="12" t="s">
        <v>222</v>
      </c>
      <c r="R19" s="12">
        <v>61</v>
      </c>
      <c r="S19" s="12">
        <v>452</v>
      </c>
    </row>
    <row r="20" spans="1:19" s="15" customFormat="1" ht="32" x14ac:dyDescent="0.2">
      <c r="A20" s="9">
        <v>19</v>
      </c>
      <c r="B20" s="13">
        <v>42876</v>
      </c>
      <c r="C20" s="9" t="s">
        <v>165</v>
      </c>
      <c r="D20" s="10" t="s">
        <v>243</v>
      </c>
      <c r="E20" s="9" t="s">
        <v>21</v>
      </c>
      <c r="F20" s="9" t="s">
        <v>22</v>
      </c>
      <c r="G20" s="12" t="str">
        <f t="shared" si="0"/>
        <v>NO PROSPERO POR UMBRAL</v>
      </c>
      <c r="H20" s="12">
        <v>76946</v>
      </c>
      <c r="I20" s="12">
        <v>46044</v>
      </c>
      <c r="J20" s="12">
        <f t="shared" si="22"/>
        <v>18418</v>
      </c>
      <c r="K20" s="12">
        <f t="shared" si="37"/>
        <v>17259</v>
      </c>
      <c r="L20" s="28">
        <f t="shared" si="27"/>
        <v>0.22430015855275129</v>
      </c>
      <c r="M20" s="12">
        <f t="shared" si="28"/>
        <v>59687</v>
      </c>
      <c r="N20" s="28">
        <f t="shared" si="29"/>
        <v>0.77569984144724868</v>
      </c>
      <c r="O20" s="12">
        <v>16345</v>
      </c>
      <c r="P20" s="12">
        <v>361</v>
      </c>
      <c r="Q20" s="12" t="s">
        <v>222</v>
      </c>
      <c r="R20" s="12">
        <v>100</v>
      </c>
      <c r="S20" s="12">
        <v>453</v>
      </c>
    </row>
    <row r="21" spans="1:19" s="15" customFormat="1" ht="32" x14ac:dyDescent="0.2">
      <c r="A21" s="9">
        <v>20</v>
      </c>
      <c r="B21" s="13">
        <v>42876</v>
      </c>
      <c r="C21" s="9" t="s">
        <v>244</v>
      </c>
      <c r="D21" s="10" t="s">
        <v>245</v>
      </c>
      <c r="E21" s="9" t="s">
        <v>21</v>
      </c>
      <c r="F21" s="9" t="s">
        <v>22</v>
      </c>
      <c r="G21" s="12" t="str">
        <f t="shared" si="0"/>
        <v>NO PROSPERO POR UMBRAL</v>
      </c>
      <c r="H21" s="12">
        <v>22473</v>
      </c>
      <c r="I21" s="12">
        <v>14596</v>
      </c>
      <c r="J21" s="12">
        <f>ROUNDUP(I21*40%,0)</f>
        <v>5839</v>
      </c>
      <c r="K21" s="12">
        <f t="shared" si="37"/>
        <v>3821</v>
      </c>
      <c r="L21" s="28">
        <f t="shared" si="27"/>
        <v>0.17002625372669425</v>
      </c>
      <c r="M21" s="12">
        <f t="shared" si="28"/>
        <v>18652</v>
      </c>
      <c r="N21" s="28">
        <f t="shared" si="29"/>
        <v>0.82997374627330578</v>
      </c>
      <c r="O21" s="12">
        <v>3383</v>
      </c>
      <c r="P21" s="12">
        <v>72</v>
      </c>
      <c r="Q21" s="12" t="s">
        <v>222</v>
      </c>
      <c r="R21" s="12">
        <v>49</v>
      </c>
      <c r="S21" s="12">
        <v>317</v>
      </c>
    </row>
    <row r="22" spans="1:19" s="15" customFormat="1" ht="32" x14ac:dyDescent="0.2">
      <c r="A22" s="9">
        <v>21</v>
      </c>
      <c r="B22" s="13">
        <v>41994</v>
      </c>
      <c r="C22" s="9" t="s">
        <v>109</v>
      </c>
      <c r="D22" s="10" t="s">
        <v>110</v>
      </c>
      <c r="E22" s="9" t="s">
        <v>21</v>
      </c>
      <c r="F22" s="9" t="s">
        <v>22</v>
      </c>
      <c r="G22" s="12" t="str">
        <f t="shared" ref="G22:G42" si="38">IF(K22&lt;J22,"NO PROSPERO POR UMBRAL",IF(K22&gt;J22,IF((K22&gt;I22)&gt;((O22*55%)+1),"PROSPERÓ REVOCATORIA"),"NO PROSPERO POR VOTACIÓN"))</f>
        <v>NO PROSPERO POR UMBRAL</v>
      </c>
      <c r="H22" s="12">
        <v>21489</v>
      </c>
      <c r="I22" s="12">
        <f>13512-(248+218)</f>
        <v>13046</v>
      </c>
      <c r="J22" s="12">
        <f t="shared" ref="J22:J59" si="39">ROUNDUP(I22*55%,0)</f>
        <v>7176</v>
      </c>
      <c r="K22" s="12">
        <f t="shared" ref="K22:K44" si="40">SUM(O22:S22)</f>
        <v>343</v>
      </c>
      <c r="L22" s="28">
        <f t="shared" si="27"/>
        <v>1.5961654800130298E-2</v>
      </c>
      <c r="M22" s="12">
        <f t="shared" si="28"/>
        <v>21146</v>
      </c>
      <c r="N22" s="28">
        <f t="shared" si="29"/>
        <v>0.98403834519986966</v>
      </c>
      <c r="O22" s="12">
        <v>280</v>
      </c>
      <c r="P22" s="12">
        <v>56</v>
      </c>
      <c r="Q22" s="12" t="s">
        <v>222</v>
      </c>
      <c r="R22" s="12">
        <v>2</v>
      </c>
      <c r="S22" s="12">
        <v>5</v>
      </c>
    </row>
    <row r="23" spans="1:19" s="15" customFormat="1" ht="32" x14ac:dyDescent="0.2">
      <c r="A23" s="9">
        <v>22</v>
      </c>
      <c r="B23" s="29">
        <v>41864</v>
      </c>
      <c r="C23" s="9" t="s">
        <v>152</v>
      </c>
      <c r="D23" s="10" t="s">
        <v>153</v>
      </c>
      <c r="E23" s="9" t="s">
        <v>21</v>
      </c>
      <c r="F23" s="9" t="s">
        <v>22</v>
      </c>
      <c r="G23" s="12" t="str">
        <f t="shared" si="38"/>
        <v>NO PROSPERO POR UMBRAL</v>
      </c>
      <c r="H23" s="12">
        <v>6677</v>
      </c>
      <c r="I23" s="12">
        <f>4609-(103+91)</f>
        <v>4415</v>
      </c>
      <c r="J23" s="12">
        <f t="shared" si="39"/>
        <v>2429</v>
      </c>
      <c r="K23" s="12">
        <f t="shared" si="40"/>
        <v>668</v>
      </c>
      <c r="L23" s="28">
        <f t="shared" si="27"/>
        <v>0.10004493035794519</v>
      </c>
      <c r="M23" s="12">
        <f t="shared" si="28"/>
        <v>6009</v>
      </c>
      <c r="N23" s="28">
        <f t="shared" si="29"/>
        <v>0.89995506964205485</v>
      </c>
      <c r="O23" s="12">
        <v>632</v>
      </c>
      <c r="P23" s="12">
        <v>10</v>
      </c>
      <c r="Q23" s="12" t="s">
        <v>222</v>
      </c>
      <c r="R23" s="12">
        <v>12</v>
      </c>
      <c r="S23" s="12">
        <v>14</v>
      </c>
    </row>
    <row r="24" spans="1:19" s="15" customFormat="1" ht="32" x14ac:dyDescent="0.2">
      <c r="A24" s="9">
        <v>23</v>
      </c>
      <c r="B24" s="13">
        <v>41798</v>
      </c>
      <c r="C24" s="9" t="s">
        <v>39</v>
      </c>
      <c r="D24" s="9" t="s">
        <v>52</v>
      </c>
      <c r="E24" s="9" t="s">
        <v>21</v>
      </c>
      <c r="F24" s="9" t="s">
        <v>22</v>
      </c>
      <c r="G24" s="12" t="str">
        <f t="shared" si="38"/>
        <v>NO PROSPERO POR UMBRAL</v>
      </c>
      <c r="H24" s="12">
        <v>17210</v>
      </c>
      <c r="I24" s="12">
        <f>10708-(231+162)</f>
        <v>10315</v>
      </c>
      <c r="J24" s="12">
        <f t="shared" si="39"/>
        <v>5674</v>
      </c>
      <c r="K24" s="12">
        <f t="shared" si="40"/>
        <v>1701</v>
      </c>
      <c r="L24" s="28">
        <f t="shared" si="27"/>
        <v>9.8837884950610105E-2</v>
      </c>
      <c r="M24" s="12">
        <f t="shared" si="28"/>
        <v>15509</v>
      </c>
      <c r="N24" s="28">
        <f t="shared" si="29"/>
        <v>0.90116211504938992</v>
      </c>
      <c r="O24" s="12">
        <v>1621</v>
      </c>
      <c r="P24" s="12">
        <v>42</v>
      </c>
      <c r="Q24" s="12" t="s">
        <v>222</v>
      </c>
      <c r="R24" s="12">
        <v>9</v>
      </c>
      <c r="S24" s="12">
        <v>29</v>
      </c>
    </row>
    <row r="25" spans="1:19" s="15" customFormat="1" ht="32" x14ac:dyDescent="0.2">
      <c r="A25" s="9">
        <v>24</v>
      </c>
      <c r="B25" s="13">
        <v>41735</v>
      </c>
      <c r="C25" s="9" t="s">
        <v>19</v>
      </c>
      <c r="D25" s="10" t="s">
        <v>28</v>
      </c>
      <c r="E25" s="9" t="s">
        <v>21</v>
      </c>
      <c r="F25" s="9" t="s">
        <v>22</v>
      </c>
      <c r="G25" s="12" t="str">
        <f t="shared" si="38"/>
        <v>NO PROSPERO POR UMBRAL</v>
      </c>
      <c r="H25" s="12">
        <v>297505</v>
      </c>
      <c r="I25" s="12">
        <f>73170-(926+171)</f>
        <v>72073</v>
      </c>
      <c r="J25" s="12">
        <f t="shared" si="39"/>
        <v>39641</v>
      </c>
      <c r="K25" s="12">
        <f t="shared" si="40"/>
        <v>12459</v>
      </c>
      <c r="L25" s="28">
        <f t="shared" si="27"/>
        <v>4.1878287759869584E-2</v>
      </c>
      <c r="M25" s="12">
        <f t="shared" si="28"/>
        <v>285046</v>
      </c>
      <c r="N25" s="28">
        <f t="shared" si="29"/>
        <v>0.95812171224013043</v>
      </c>
      <c r="O25" s="12">
        <v>11255</v>
      </c>
      <c r="P25" s="12">
        <v>1063</v>
      </c>
      <c r="Q25" s="12" t="s">
        <v>222</v>
      </c>
      <c r="R25" s="12">
        <v>72</v>
      </c>
      <c r="S25" s="12">
        <v>69</v>
      </c>
    </row>
    <row r="26" spans="1:19" s="15" customFormat="1" ht="32" x14ac:dyDescent="0.2">
      <c r="A26" s="9">
        <v>25</v>
      </c>
      <c r="B26" s="13">
        <v>41672</v>
      </c>
      <c r="C26" s="9" t="s">
        <v>123</v>
      </c>
      <c r="D26" s="9" t="s">
        <v>81</v>
      </c>
      <c r="E26" s="9" t="s">
        <v>21</v>
      </c>
      <c r="F26" s="9" t="s">
        <v>122</v>
      </c>
      <c r="G26" s="12" t="str">
        <f t="shared" si="38"/>
        <v>NO PROSPERO POR UMBRAL</v>
      </c>
      <c r="H26" s="12">
        <v>53088</v>
      </c>
      <c r="I26" s="12">
        <f>29601-(674+1000)</f>
        <v>27927</v>
      </c>
      <c r="J26" s="12">
        <f t="shared" si="39"/>
        <v>15360</v>
      </c>
      <c r="K26" s="12">
        <f t="shared" si="40"/>
        <v>1912</v>
      </c>
      <c r="L26" s="28">
        <f t="shared" si="27"/>
        <v>3.6015672091621459E-2</v>
      </c>
      <c r="M26" s="12">
        <f t="shared" si="28"/>
        <v>51176</v>
      </c>
      <c r="N26" s="28">
        <f t="shared" si="29"/>
        <v>0.96398432790837851</v>
      </c>
      <c r="O26" s="12">
        <v>1611</v>
      </c>
      <c r="P26" s="12">
        <v>248</v>
      </c>
      <c r="Q26" s="12" t="s">
        <v>222</v>
      </c>
      <c r="R26" s="12">
        <v>41</v>
      </c>
      <c r="S26" s="12">
        <v>12</v>
      </c>
    </row>
    <row r="27" spans="1:19" s="15" customFormat="1" ht="32" x14ac:dyDescent="0.2">
      <c r="A27" s="9">
        <v>26</v>
      </c>
      <c r="B27" s="13">
        <v>41609</v>
      </c>
      <c r="C27" s="9" t="s">
        <v>39</v>
      </c>
      <c r="D27" s="9" t="s">
        <v>58</v>
      </c>
      <c r="E27" s="9" t="s">
        <v>21</v>
      </c>
      <c r="F27" s="9" t="s">
        <v>22</v>
      </c>
      <c r="G27" s="12" t="str">
        <f t="shared" si="38"/>
        <v>NO PROSPERO POR UMBRAL</v>
      </c>
      <c r="H27" s="12">
        <v>7026</v>
      </c>
      <c r="I27" s="12">
        <f>5384-(69+131)</f>
        <v>5184</v>
      </c>
      <c r="J27" s="12">
        <f t="shared" si="39"/>
        <v>2852</v>
      </c>
      <c r="K27" s="12">
        <f t="shared" si="40"/>
        <v>575</v>
      </c>
      <c r="L27" s="28">
        <f t="shared" si="27"/>
        <v>8.1838884144605745E-2</v>
      </c>
      <c r="M27" s="12">
        <f t="shared" si="28"/>
        <v>6451</v>
      </c>
      <c r="N27" s="28">
        <f t="shared" si="29"/>
        <v>0.91816111585539428</v>
      </c>
      <c r="O27" s="12">
        <v>509</v>
      </c>
      <c r="P27" s="12">
        <v>45</v>
      </c>
      <c r="Q27" s="12" t="s">
        <v>222</v>
      </c>
      <c r="R27" s="12">
        <v>7</v>
      </c>
      <c r="S27" s="12">
        <v>14</v>
      </c>
    </row>
    <row r="28" spans="1:19" s="15" customFormat="1" ht="32" x14ac:dyDescent="0.2">
      <c r="A28" s="9">
        <v>27</v>
      </c>
      <c r="B28" s="13">
        <v>41602</v>
      </c>
      <c r="C28" s="9" t="s">
        <v>184</v>
      </c>
      <c r="D28" s="9" t="s">
        <v>193</v>
      </c>
      <c r="E28" s="17" t="s">
        <v>21</v>
      </c>
      <c r="F28" s="9" t="s">
        <v>22</v>
      </c>
      <c r="G28" s="12" t="str">
        <f t="shared" si="38"/>
        <v>NO PROSPERO POR UMBRAL</v>
      </c>
      <c r="H28" s="12">
        <v>40272</v>
      </c>
      <c r="I28" s="12">
        <f>25193-(519+753)</f>
        <v>23921</v>
      </c>
      <c r="J28" s="12">
        <f t="shared" si="39"/>
        <v>13157</v>
      </c>
      <c r="K28" s="12">
        <f t="shared" si="40"/>
        <v>8211</v>
      </c>
      <c r="L28" s="28">
        <f t="shared" si="27"/>
        <v>0.20388855780691298</v>
      </c>
      <c r="M28" s="12">
        <f t="shared" si="28"/>
        <v>32061</v>
      </c>
      <c r="N28" s="28">
        <f t="shared" si="29"/>
        <v>0.79611144219308705</v>
      </c>
      <c r="O28" s="12">
        <v>7769</v>
      </c>
      <c r="P28" s="12">
        <v>152</v>
      </c>
      <c r="Q28" s="12" t="s">
        <v>222</v>
      </c>
      <c r="R28" s="12">
        <v>220</v>
      </c>
      <c r="S28" s="12">
        <v>70</v>
      </c>
    </row>
    <row r="29" spans="1:19" s="15" customFormat="1" ht="32" x14ac:dyDescent="0.2">
      <c r="A29" s="9">
        <v>28</v>
      </c>
      <c r="B29" s="13">
        <v>41595</v>
      </c>
      <c r="C29" s="9" t="s">
        <v>32</v>
      </c>
      <c r="D29" s="9" t="s">
        <v>61</v>
      </c>
      <c r="E29" s="17" t="s">
        <v>21</v>
      </c>
      <c r="F29" s="9" t="s">
        <v>22</v>
      </c>
      <c r="G29" s="12" t="str">
        <f t="shared" si="38"/>
        <v>NO PROSPERO POR UMBRAL</v>
      </c>
      <c r="H29" s="12">
        <v>30984</v>
      </c>
      <c r="I29" s="12">
        <f>10057-(188+153)</f>
        <v>9716</v>
      </c>
      <c r="J29" s="12">
        <f t="shared" si="39"/>
        <v>5344</v>
      </c>
      <c r="K29" s="12">
        <f t="shared" si="40"/>
        <v>1779</v>
      </c>
      <c r="L29" s="28">
        <f t="shared" si="27"/>
        <v>5.7416731216111544E-2</v>
      </c>
      <c r="M29" s="12">
        <f t="shared" si="28"/>
        <v>29205</v>
      </c>
      <c r="N29" s="28">
        <f t="shared" si="29"/>
        <v>0.94258326878388843</v>
      </c>
      <c r="O29" s="12">
        <v>1685</v>
      </c>
      <c r="P29" s="12">
        <v>32</v>
      </c>
      <c r="Q29" s="12" t="s">
        <v>222</v>
      </c>
      <c r="R29" s="12">
        <v>21</v>
      </c>
      <c r="S29" s="12">
        <v>41</v>
      </c>
    </row>
    <row r="30" spans="1:19" ht="32" x14ac:dyDescent="0.2">
      <c r="A30" s="9">
        <v>29</v>
      </c>
      <c r="B30" s="13">
        <v>41595</v>
      </c>
      <c r="C30" s="9" t="s">
        <v>137</v>
      </c>
      <c r="D30" s="9" t="s">
        <v>138</v>
      </c>
      <c r="E30" s="9" t="s">
        <v>21</v>
      </c>
      <c r="F30" s="9" t="s">
        <v>22</v>
      </c>
      <c r="G30" s="12" t="str">
        <f t="shared" si="38"/>
        <v>NO PROSPERO POR UMBRAL</v>
      </c>
      <c r="H30" s="12">
        <v>23359</v>
      </c>
      <c r="I30" s="12">
        <f>14457-(396+320)</f>
        <v>13741</v>
      </c>
      <c r="J30" s="12">
        <f t="shared" si="39"/>
        <v>7558</v>
      </c>
      <c r="K30" s="12">
        <f t="shared" si="40"/>
        <v>3807</v>
      </c>
      <c r="L30" s="28">
        <f t="shared" si="27"/>
        <v>0.16297786720321933</v>
      </c>
      <c r="M30" s="12">
        <f t="shared" si="28"/>
        <v>19552</v>
      </c>
      <c r="N30" s="28">
        <f t="shared" si="29"/>
        <v>0.83702213279678073</v>
      </c>
      <c r="O30" s="12">
        <v>3680</v>
      </c>
      <c r="P30" s="12">
        <v>84</v>
      </c>
      <c r="Q30" s="12" t="s">
        <v>222</v>
      </c>
      <c r="R30" s="12">
        <v>27</v>
      </c>
      <c r="S30" s="12">
        <v>16</v>
      </c>
    </row>
    <row r="31" spans="1:19" s="15" customFormat="1" ht="32" x14ac:dyDescent="0.2">
      <c r="A31" s="9">
        <v>30</v>
      </c>
      <c r="B31" s="13">
        <v>41567</v>
      </c>
      <c r="C31" s="9" t="s">
        <v>174</v>
      </c>
      <c r="D31" s="10" t="s">
        <v>175</v>
      </c>
      <c r="E31" s="9" t="s">
        <v>21</v>
      </c>
      <c r="F31" s="9" t="s">
        <v>22</v>
      </c>
      <c r="G31" s="12" t="str">
        <f t="shared" si="38"/>
        <v>NO PROSPERO POR UMBRAL</v>
      </c>
      <c r="H31" s="12">
        <v>5602</v>
      </c>
      <c r="I31" s="12">
        <f>3324-(49+71)</f>
        <v>3204</v>
      </c>
      <c r="J31" s="12">
        <f t="shared" si="39"/>
        <v>1763</v>
      </c>
      <c r="K31" s="12">
        <f t="shared" si="40"/>
        <v>1114</v>
      </c>
      <c r="L31" s="28">
        <f t="shared" si="27"/>
        <v>0.19885755087468762</v>
      </c>
      <c r="M31" s="12">
        <f t="shared" si="28"/>
        <v>4488</v>
      </c>
      <c r="N31" s="28">
        <f t="shared" si="29"/>
        <v>0.80114244912531241</v>
      </c>
      <c r="O31" s="12">
        <v>1073</v>
      </c>
      <c r="P31" s="12">
        <v>19</v>
      </c>
      <c r="Q31" s="12" t="s">
        <v>222</v>
      </c>
      <c r="R31" s="12">
        <v>5</v>
      </c>
      <c r="S31" s="12">
        <v>17</v>
      </c>
    </row>
    <row r="32" spans="1:19" s="15" customFormat="1" ht="32" x14ac:dyDescent="0.2">
      <c r="A32" s="9">
        <v>31</v>
      </c>
      <c r="B32" s="13">
        <v>41532</v>
      </c>
      <c r="C32" s="9" t="s">
        <v>98</v>
      </c>
      <c r="D32" s="10" t="s">
        <v>104</v>
      </c>
      <c r="E32" s="9" t="s">
        <v>21</v>
      </c>
      <c r="F32" s="9" t="s">
        <v>22</v>
      </c>
      <c r="G32" s="12" t="str">
        <f t="shared" si="38"/>
        <v>NO PROSPERO POR UMBRAL</v>
      </c>
      <c r="H32" s="12">
        <v>106052</v>
      </c>
      <c r="I32" s="12">
        <f>59399-(1842+1637)</f>
        <v>55920</v>
      </c>
      <c r="J32" s="12">
        <f t="shared" si="39"/>
        <v>30756</v>
      </c>
      <c r="K32" s="12">
        <f t="shared" si="40"/>
        <v>11323</v>
      </c>
      <c r="L32" s="28">
        <f t="shared" si="27"/>
        <v>0.10676837777693962</v>
      </c>
      <c r="M32" s="12">
        <f t="shared" si="28"/>
        <v>94729</v>
      </c>
      <c r="N32" s="28">
        <f t="shared" si="29"/>
        <v>0.89323162222306041</v>
      </c>
      <c r="O32" s="12">
        <v>10492</v>
      </c>
      <c r="P32" s="12">
        <v>503</v>
      </c>
      <c r="Q32" s="12">
        <v>203</v>
      </c>
      <c r="R32" s="12">
        <v>63</v>
      </c>
      <c r="S32" s="12">
        <v>62</v>
      </c>
    </row>
    <row r="33" spans="1:20" s="15" customFormat="1" ht="32" x14ac:dyDescent="0.2">
      <c r="A33" s="9">
        <v>32</v>
      </c>
      <c r="B33" s="13">
        <v>41462</v>
      </c>
      <c r="C33" s="9" t="s">
        <v>19</v>
      </c>
      <c r="D33" s="10" t="s">
        <v>20</v>
      </c>
      <c r="E33" s="9" t="s">
        <v>21</v>
      </c>
      <c r="F33" s="9" t="s">
        <v>22</v>
      </c>
      <c r="G33" s="12" t="str">
        <f t="shared" si="38"/>
        <v>NO PROSPERO POR UMBRAL</v>
      </c>
      <c r="H33" s="12">
        <v>8438</v>
      </c>
      <c r="I33" s="12">
        <f>4829-(180+190)</f>
        <v>4459</v>
      </c>
      <c r="J33" s="12">
        <f t="shared" si="39"/>
        <v>2453</v>
      </c>
      <c r="K33" s="12">
        <f t="shared" si="40"/>
        <v>968</v>
      </c>
      <c r="L33" s="28">
        <f t="shared" si="27"/>
        <v>0.11471912775539227</v>
      </c>
      <c r="M33" s="12">
        <f t="shared" si="28"/>
        <v>7470</v>
      </c>
      <c r="N33" s="28">
        <f t="shared" si="29"/>
        <v>0.88528087224460772</v>
      </c>
      <c r="O33" s="12">
        <v>899</v>
      </c>
      <c r="P33" s="12">
        <v>18</v>
      </c>
      <c r="Q33" s="12">
        <v>5</v>
      </c>
      <c r="R33" s="12">
        <v>15</v>
      </c>
      <c r="S33" s="12">
        <v>31</v>
      </c>
    </row>
    <row r="34" spans="1:20" s="15" customFormat="1" ht="32" x14ac:dyDescent="0.2">
      <c r="A34" s="9">
        <v>33</v>
      </c>
      <c r="B34" s="13">
        <v>40426</v>
      </c>
      <c r="C34" s="9" t="s">
        <v>73</v>
      </c>
      <c r="D34" s="9" t="s">
        <v>82</v>
      </c>
      <c r="E34" s="9" t="s">
        <v>21</v>
      </c>
      <c r="F34" s="9" t="s">
        <v>22</v>
      </c>
      <c r="G34" s="12" t="str">
        <f t="shared" si="38"/>
        <v>NO PROSPERO POR UMBRAL</v>
      </c>
      <c r="H34" s="12">
        <v>11528</v>
      </c>
      <c r="I34" s="12">
        <f>8303-(92+104)</f>
        <v>8107</v>
      </c>
      <c r="J34" s="12">
        <f t="shared" si="39"/>
        <v>4459</v>
      </c>
      <c r="K34" s="12">
        <f t="shared" si="40"/>
        <v>44</v>
      </c>
      <c r="L34" s="28">
        <f t="shared" si="27"/>
        <v>3.8167938931297708E-3</v>
      </c>
      <c r="M34" s="12">
        <f t="shared" si="28"/>
        <v>11484</v>
      </c>
      <c r="N34" s="28">
        <f t="shared" si="29"/>
        <v>0.99618320610687028</v>
      </c>
      <c r="O34" s="12">
        <v>34</v>
      </c>
      <c r="P34" s="12">
        <v>9</v>
      </c>
      <c r="Q34" s="12">
        <v>0</v>
      </c>
      <c r="R34" s="12">
        <v>0</v>
      </c>
      <c r="S34" s="12">
        <v>1</v>
      </c>
    </row>
    <row r="35" spans="1:20" s="15" customFormat="1" ht="32" x14ac:dyDescent="0.2">
      <c r="A35" s="9">
        <v>34</v>
      </c>
      <c r="B35" s="13">
        <v>40307</v>
      </c>
      <c r="C35" s="9" t="s">
        <v>158</v>
      </c>
      <c r="D35" s="10" t="s">
        <v>160</v>
      </c>
      <c r="E35" s="9" t="s">
        <v>21</v>
      </c>
      <c r="F35" s="9" t="s">
        <v>22</v>
      </c>
      <c r="G35" s="12" t="str">
        <f t="shared" si="38"/>
        <v>NO PROSPERO POR UMBRAL</v>
      </c>
      <c r="H35" s="12">
        <v>14129</v>
      </c>
      <c r="I35" s="12">
        <f>8623-(89+107)</f>
        <v>8427</v>
      </c>
      <c r="J35" s="12">
        <f t="shared" si="39"/>
        <v>4635</v>
      </c>
      <c r="K35" s="12">
        <f t="shared" si="40"/>
        <v>1226</v>
      </c>
      <c r="L35" s="28">
        <f t="shared" si="27"/>
        <v>8.6771887607049333E-2</v>
      </c>
      <c r="M35" s="12">
        <f t="shared" si="28"/>
        <v>12903</v>
      </c>
      <c r="N35" s="28">
        <f t="shared" si="29"/>
        <v>0.91322811239295065</v>
      </c>
      <c r="O35" s="12">
        <v>1150</v>
      </c>
      <c r="P35" s="12">
        <v>54</v>
      </c>
      <c r="Q35" s="12">
        <v>17</v>
      </c>
      <c r="R35" s="12">
        <v>1</v>
      </c>
      <c r="S35" s="12">
        <v>4</v>
      </c>
    </row>
    <row r="36" spans="1:20" s="15" customFormat="1" ht="32" x14ac:dyDescent="0.2">
      <c r="A36" s="9">
        <v>35</v>
      </c>
      <c r="B36" s="13">
        <v>40307</v>
      </c>
      <c r="C36" s="9" t="s">
        <v>203</v>
      </c>
      <c r="D36" s="9" t="s">
        <v>204</v>
      </c>
      <c r="E36" s="17" t="s">
        <v>21</v>
      </c>
      <c r="F36" s="9" t="s">
        <v>22</v>
      </c>
      <c r="G36" s="12" t="str">
        <f t="shared" si="38"/>
        <v>NO PROSPERO POR UMBRAL</v>
      </c>
      <c r="H36" s="12">
        <v>226336</v>
      </c>
      <c r="I36" s="12">
        <f>111857-(2795+6641)</f>
        <v>102421</v>
      </c>
      <c r="J36" s="12">
        <f t="shared" si="39"/>
        <v>56332</v>
      </c>
      <c r="K36" s="12">
        <f t="shared" si="40"/>
        <v>15961</v>
      </c>
      <c r="L36" s="28">
        <f t="shared" si="27"/>
        <v>7.0519051321928455E-2</v>
      </c>
      <c r="M36" s="12">
        <f t="shared" si="28"/>
        <v>210375</v>
      </c>
      <c r="N36" s="28">
        <f t="shared" si="29"/>
        <v>0.92948094867807152</v>
      </c>
      <c r="O36" s="12">
        <v>13605</v>
      </c>
      <c r="P36" s="12">
        <v>2000</v>
      </c>
      <c r="Q36" s="12">
        <v>251</v>
      </c>
      <c r="R36" s="12">
        <v>73</v>
      </c>
      <c r="S36" s="12">
        <v>32</v>
      </c>
    </row>
    <row r="37" spans="1:20" s="15" customFormat="1" ht="32" x14ac:dyDescent="0.2">
      <c r="A37" s="9">
        <v>36</v>
      </c>
      <c r="B37" s="13">
        <v>40132</v>
      </c>
      <c r="C37" s="9" t="s">
        <v>232</v>
      </c>
      <c r="D37" s="10" t="s">
        <v>233</v>
      </c>
      <c r="E37" s="9" t="s">
        <v>21</v>
      </c>
      <c r="F37" s="9" t="s">
        <v>22</v>
      </c>
      <c r="G37" s="12" t="str">
        <f t="shared" si="38"/>
        <v>NO PROSPERO POR UMBRAL</v>
      </c>
      <c r="H37" s="12">
        <v>31520</v>
      </c>
      <c r="I37" s="12">
        <f>14330-(474+653)</f>
        <v>13203</v>
      </c>
      <c r="J37" s="12">
        <f t="shared" si="39"/>
        <v>7262</v>
      </c>
      <c r="K37" s="12">
        <f t="shared" si="40"/>
        <v>1020</v>
      </c>
      <c r="L37" s="28">
        <f t="shared" si="27"/>
        <v>3.2360406091370558E-2</v>
      </c>
      <c r="M37" s="12">
        <f t="shared" si="28"/>
        <v>30500</v>
      </c>
      <c r="N37" s="28">
        <f t="shared" si="29"/>
        <v>0.96763959390862941</v>
      </c>
      <c r="O37" s="12">
        <v>877</v>
      </c>
      <c r="P37" s="12">
        <v>71</v>
      </c>
      <c r="Q37" s="12">
        <v>17</v>
      </c>
      <c r="R37" s="12">
        <v>20</v>
      </c>
      <c r="S37" s="12">
        <v>35</v>
      </c>
    </row>
    <row r="38" spans="1:20" s="15" customFormat="1" ht="32" x14ac:dyDescent="0.2">
      <c r="A38" s="9">
        <v>37</v>
      </c>
      <c r="B38" s="13">
        <v>40132</v>
      </c>
      <c r="C38" s="9" t="s">
        <v>203</v>
      </c>
      <c r="D38" s="10" t="s">
        <v>234</v>
      </c>
      <c r="E38" s="9" t="s">
        <v>21</v>
      </c>
      <c r="F38" s="9" t="s">
        <v>22</v>
      </c>
      <c r="G38" s="12" t="str">
        <f t="shared" si="38"/>
        <v>NO PROSPERO POR UMBRAL</v>
      </c>
      <c r="H38" s="12">
        <v>36423</v>
      </c>
      <c r="I38" s="12">
        <f>20156-(457+797)</f>
        <v>18902</v>
      </c>
      <c r="J38" s="12">
        <f t="shared" si="39"/>
        <v>10397</v>
      </c>
      <c r="K38" s="12">
        <f t="shared" si="40"/>
        <v>5958</v>
      </c>
      <c r="L38" s="28">
        <f t="shared" si="27"/>
        <v>0.16357795898196195</v>
      </c>
      <c r="M38" s="12">
        <f t="shared" si="28"/>
        <v>30465</v>
      </c>
      <c r="N38" s="28">
        <f t="shared" si="29"/>
        <v>0.83642204101803808</v>
      </c>
      <c r="O38" s="12">
        <v>5609</v>
      </c>
      <c r="P38" s="12">
        <v>93</v>
      </c>
      <c r="Q38" s="12">
        <v>46</v>
      </c>
      <c r="R38" s="12">
        <v>59</v>
      </c>
      <c r="S38" s="12">
        <v>151</v>
      </c>
    </row>
    <row r="39" spans="1:20" s="15" customFormat="1" ht="32" x14ac:dyDescent="0.2">
      <c r="A39" s="9">
        <v>38</v>
      </c>
      <c r="B39" s="13">
        <v>40104</v>
      </c>
      <c r="C39" s="9" t="s">
        <v>98</v>
      </c>
      <c r="D39" s="10" t="s">
        <v>99</v>
      </c>
      <c r="E39" s="9" t="s">
        <v>21</v>
      </c>
      <c r="F39" s="9" t="s">
        <v>22</v>
      </c>
      <c r="G39" s="12" t="str">
        <f t="shared" si="38"/>
        <v>NO PROSPERO POR UMBRAL</v>
      </c>
      <c r="H39" s="12">
        <v>8007</v>
      </c>
      <c r="I39" s="12">
        <f>3454-(48+85)</f>
        <v>3321</v>
      </c>
      <c r="J39" s="12">
        <f t="shared" si="39"/>
        <v>1827</v>
      </c>
      <c r="K39" s="12">
        <f t="shared" si="40"/>
        <v>1283</v>
      </c>
      <c r="L39" s="28">
        <f t="shared" si="27"/>
        <v>0.16023479455476458</v>
      </c>
      <c r="M39" s="12">
        <f t="shared" si="28"/>
        <v>6724</v>
      </c>
      <c r="N39" s="28">
        <f t="shared" si="29"/>
        <v>0.83976520544523547</v>
      </c>
      <c r="O39" s="12">
        <v>1216</v>
      </c>
      <c r="P39" s="12">
        <v>27</v>
      </c>
      <c r="Q39" s="12">
        <v>11</v>
      </c>
      <c r="R39" s="12">
        <v>14</v>
      </c>
      <c r="S39" s="12">
        <v>15</v>
      </c>
    </row>
    <row r="40" spans="1:20" s="15" customFormat="1" ht="32" x14ac:dyDescent="0.2">
      <c r="A40" s="9">
        <v>39</v>
      </c>
      <c r="B40" s="13">
        <v>40104</v>
      </c>
      <c r="C40" s="9" t="s">
        <v>116</v>
      </c>
      <c r="D40" s="9" t="s">
        <v>117</v>
      </c>
      <c r="E40" s="9" t="s">
        <v>21</v>
      </c>
      <c r="F40" s="9" t="s">
        <v>22</v>
      </c>
      <c r="G40" s="12" t="str">
        <f t="shared" si="38"/>
        <v>NO PROSPERO POR UMBRAL</v>
      </c>
      <c r="H40" s="12">
        <v>49804</v>
      </c>
      <c r="I40" s="12">
        <f>32173-(488+1207)</f>
        <v>30478</v>
      </c>
      <c r="J40" s="12">
        <f t="shared" si="39"/>
        <v>16763</v>
      </c>
      <c r="K40" s="12">
        <f t="shared" si="40"/>
        <v>10697</v>
      </c>
      <c r="L40" s="28">
        <f t="shared" si="27"/>
        <v>0.2147819452252831</v>
      </c>
      <c r="M40" s="12">
        <f t="shared" si="28"/>
        <v>39107</v>
      </c>
      <c r="N40" s="28">
        <f t="shared" si="29"/>
        <v>0.78521805477471684</v>
      </c>
      <c r="O40" s="12">
        <v>9663</v>
      </c>
      <c r="P40" s="12">
        <v>192</v>
      </c>
      <c r="Q40" s="12">
        <v>90</v>
      </c>
      <c r="R40" s="12">
        <v>134</v>
      </c>
      <c r="S40" s="12">
        <v>618</v>
      </c>
    </row>
    <row r="41" spans="1:20" s="15" customFormat="1" ht="32" x14ac:dyDescent="0.2">
      <c r="A41" s="9">
        <v>40</v>
      </c>
      <c r="B41" s="13">
        <v>40020</v>
      </c>
      <c r="C41" s="9" t="s">
        <v>73</v>
      </c>
      <c r="D41" s="10" t="s">
        <v>88</v>
      </c>
      <c r="E41" s="9" t="s">
        <v>21</v>
      </c>
      <c r="F41" s="9" t="s">
        <v>22</v>
      </c>
      <c r="G41" s="12" t="str">
        <f t="shared" si="38"/>
        <v>NO PROSPERO POR UMBRAL</v>
      </c>
      <c r="H41" s="12">
        <v>2846</v>
      </c>
      <c r="I41" s="12">
        <f>2060-(23+19)</f>
        <v>2018</v>
      </c>
      <c r="J41" s="12">
        <f t="shared" si="39"/>
        <v>1110</v>
      </c>
      <c r="K41" s="12">
        <f t="shared" si="40"/>
        <v>320</v>
      </c>
      <c r="L41" s="28">
        <f t="shared" si="27"/>
        <v>0.11243851018973998</v>
      </c>
      <c r="M41" s="12">
        <f t="shared" si="28"/>
        <v>2526</v>
      </c>
      <c r="N41" s="28">
        <f t="shared" si="29"/>
        <v>0.88756148981026006</v>
      </c>
      <c r="O41" s="12">
        <v>306</v>
      </c>
      <c r="P41" s="12">
        <v>5</v>
      </c>
      <c r="Q41" s="12">
        <v>1</v>
      </c>
      <c r="R41" s="12">
        <v>4</v>
      </c>
      <c r="S41" s="12">
        <v>4</v>
      </c>
    </row>
    <row r="42" spans="1:20" s="15" customFormat="1" ht="32" x14ac:dyDescent="0.2">
      <c r="A42" s="9">
        <v>41</v>
      </c>
      <c r="B42" s="13">
        <v>40015</v>
      </c>
      <c r="C42" s="9" t="s">
        <v>39</v>
      </c>
      <c r="D42" s="9" t="s">
        <v>49</v>
      </c>
      <c r="E42" s="9" t="s">
        <v>21</v>
      </c>
      <c r="F42" s="9" t="s">
        <v>22</v>
      </c>
      <c r="G42" s="12" t="str">
        <f t="shared" si="38"/>
        <v>NO PROSPERO POR UMBRAL</v>
      </c>
      <c r="H42" s="12">
        <v>10853</v>
      </c>
      <c r="I42" s="12">
        <f>7824-(216+153)</f>
        <v>7455</v>
      </c>
      <c r="J42" s="12">
        <f t="shared" si="39"/>
        <v>4101</v>
      </c>
      <c r="K42" s="12">
        <f t="shared" si="40"/>
        <v>3609</v>
      </c>
      <c r="L42" s="28">
        <f t="shared" si="27"/>
        <v>0.33253478300930617</v>
      </c>
      <c r="M42" s="12">
        <f t="shared" si="28"/>
        <v>7244</v>
      </c>
      <c r="N42" s="28">
        <f t="shared" si="29"/>
        <v>0.66746521699069383</v>
      </c>
      <c r="O42" s="12">
        <v>3188</v>
      </c>
      <c r="P42" s="12">
        <v>171</v>
      </c>
      <c r="Q42" s="12">
        <v>60</v>
      </c>
      <c r="R42" s="12">
        <v>85</v>
      </c>
      <c r="S42" s="12">
        <v>105</v>
      </c>
    </row>
    <row r="43" spans="1:20" s="15" customFormat="1" ht="32" x14ac:dyDescent="0.2">
      <c r="A43" s="9">
        <v>42</v>
      </c>
      <c r="B43" s="13">
        <v>40006</v>
      </c>
      <c r="C43" s="9" t="s">
        <v>19</v>
      </c>
      <c r="D43" s="10" t="s">
        <v>33</v>
      </c>
      <c r="E43" s="9" t="s">
        <v>21</v>
      </c>
      <c r="F43" s="9" t="s">
        <v>22</v>
      </c>
      <c r="G43" s="12" t="str">
        <f t="shared" ref="G43:G57" si="41">IF(K43&lt;J43,"NO PROSPERO POR UMBRAL",IF(K43&gt;J43,"NO PROSPERO POR VOTACIÓN",IF(O43=(55%+1),"PROSPERÓ")))</f>
        <v>NO PROSPERO POR UMBRAL</v>
      </c>
      <c r="H43" s="12">
        <v>25898</v>
      </c>
      <c r="I43" s="12">
        <f>11116-(335+559)</f>
        <v>10222</v>
      </c>
      <c r="J43" s="12">
        <f t="shared" si="39"/>
        <v>5623</v>
      </c>
      <c r="K43" s="12">
        <f t="shared" si="40"/>
        <v>2205</v>
      </c>
      <c r="L43" s="28">
        <f t="shared" si="27"/>
        <v>8.5141709784539346E-2</v>
      </c>
      <c r="M43" s="12">
        <f t="shared" si="28"/>
        <v>23693</v>
      </c>
      <c r="N43" s="28">
        <f t="shared" si="29"/>
        <v>0.91485829021546061</v>
      </c>
      <c r="O43" s="12">
        <v>1969</v>
      </c>
      <c r="P43" s="12">
        <v>125</v>
      </c>
      <c r="Q43" s="12">
        <v>41</v>
      </c>
      <c r="R43" s="12">
        <v>42</v>
      </c>
      <c r="S43" s="12">
        <v>28</v>
      </c>
    </row>
    <row r="44" spans="1:20" s="15" customFormat="1" ht="32" x14ac:dyDescent="0.2">
      <c r="A44" s="9">
        <v>43</v>
      </c>
      <c r="B44" s="13">
        <v>39922</v>
      </c>
      <c r="C44" s="9" t="s">
        <v>32</v>
      </c>
      <c r="D44" s="9" t="s">
        <v>60</v>
      </c>
      <c r="E44" s="17" t="s">
        <v>21</v>
      </c>
      <c r="F44" s="9" t="s">
        <v>22</v>
      </c>
      <c r="G44" s="12" t="str">
        <f>IF(K44&lt;J44,"NO PROSPERO POR UMBRAL",IF(K44&gt;J44,IF((K44&gt;I44)&gt;((O44*55%)+1),"PROSPERÓ REVOCATORIA"),"NO PROSPERO POR VOTACIÓN"))</f>
        <v>NO PROSPERO POR UMBRAL</v>
      </c>
      <c r="H44" s="12">
        <v>3523</v>
      </c>
      <c r="I44" s="12">
        <f>2048-(57+30)</f>
        <v>1961</v>
      </c>
      <c r="J44" s="12">
        <f t="shared" si="39"/>
        <v>1079</v>
      </c>
      <c r="K44" s="12">
        <f t="shared" si="40"/>
        <v>903</v>
      </c>
      <c r="L44" s="28">
        <f t="shared" si="27"/>
        <v>0.25631564007947771</v>
      </c>
      <c r="M44" s="12">
        <f t="shared" si="28"/>
        <v>2620</v>
      </c>
      <c r="N44" s="28">
        <f t="shared" si="29"/>
        <v>0.74368435992052229</v>
      </c>
      <c r="O44" s="12">
        <v>871</v>
      </c>
      <c r="P44" s="12">
        <v>8</v>
      </c>
      <c r="Q44" s="12">
        <v>3</v>
      </c>
      <c r="R44" s="12">
        <v>3</v>
      </c>
      <c r="S44" s="12">
        <v>18</v>
      </c>
    </row>
    <row r="45" spans="1:20" s="15" customFormat="1" ht="32" x14ac:dyDescent="0.2">
      <c r="A45" s="9">
        <v>44</v>
      </c>
      <c r="B45" s="13">
        <v>38704</v>
      </c>
      <c r="C45" s="9" t="s">
        <v>137</v>
      </c>
      <c r="D45" s="9" t="s">
        <v>146</v>
      </c>
      <c r="E45" s="9" t="s">
        <v>21</v>
      </c>
      <c r="F45" s="9" t="s">
        <v>22</v>
      </c>
      <c r="G45" s="12" t="str">
        <f>IF(K45&lt;J45,"NO PROSPERO POR UMBRAL",IF(K45&gt;J45,IF((K45&gt;I45)&gt;((O45*55%)+1),"PROSPERÓ REVOCATORIA"),"NO PROSPERO POR VOTACIÓN"))</f>
        <v>NO PROSPERO POR UMBRAL</v>
      </c>
      <c r="H45" s="12">
        <v>5369</v>
      </c>
      <c r="I45" s="12">
        <v>3955</v>
      </c>
      <c r="J45" s="12">
        <f t="shared" si="39"/>
        <v>2176</v>
      </c>
      <c r="K45" s="12">
        <v>1239</v>
      </c>
      <c r="L45" s="28">
        <f t="shared" si="27"/>
        <v>0.23076923076923078</v>
      </c>
      <c r="M45" s="12">
        <f t="shared" si="28"/>
        <v>4130</v>
      </c>
      <c r="N45" s="28">
        <f t="shared" si="29"/>
        <v>0.76923076923076927</v>
      </c>
      <c r="O45" s="12">
        <v>1169</v>
      </c>
      <c r="P45" s="12">
        <v>22</v>
      </c>
      <c r="Q45" s="24" t="s">
        <v>242</v>
      </c>
      <c r="R45" s="24" t="s">
        <v>242</v>
      </c>
      <c r="S45" s="24" t="s">
        <v>242</v>
      </c>
    </row>
    <row r="46" spans="1:20" s="15" customFormat="1" ht="32" x14ac:dyDescent="0.2">
      <c r="A46" s="9">
        <v>45</v>
      </c>
      <c r="B46" s="13">
        <v>38697</v>
      </c>
      <c r="C46" s="9" t="s">
        <v>123</v>
      </c>
      <c r="D46" s="9" t="s">
        <v>124</v>
      </c>
      <c r="E46" s="9" t="s">
        <v>21</v>
      </c>
      <c r="F46" s="9" t="s">
        <v>22</v>
      </c>
      <c r="G46" s="12" t="str">
        <f t="shared" si="41"/>
        <v>NO PROSPERO POR VOTACIÓN</v>
      </c>
      <c r="H46" s="12">
        <v>4681</v>
      </c>
      <c r="I46" s="12">
        <v>725</v>
      </c>
      <c r="J46" s="12">
        <f t="shared" si="39"/>
        <v>399</v>
      </c>
      <c r="K46" s="12">
        <f>SUM(O46:S46)</f>
        <v>497</v>
      </c>
      <c r="L46" s="28">
        <f t="shared" si="27"/>
        <v>0.10617389446699423</v>
      </c>
      <c r="M46" s="12">
        <f t="shared" si="28"/>
        <v>4184</v>
      </c>
      <c r="N46" s="28">
        <f t="shared" si="29"/>
        <v>0.89382610553300579</v>
      </c>
      <c r="O46" s="12">
        <v>149</v>
      </c>
      <c r="P46" s="12">
        <v>322</v>
      </c>
      <c r="Q46" s="12">
        <v>8</v>
      </c>
      <c r="R46" s="12">
        <v>8</v>
      </c>
      <c r="S46" s="12">
        <v>10</v>
      </c>
      <c r="T46" s="23"/>
    </row>
    <row r="47" spans="1:20" s="15" customFormat="1" ht="32" x14ac:dyDescent="0.2">
      <c r="A47" s="9">
        <v>46</v>
      </c>
      <c r="B47" s="13">
        <v>38578</v>
      </c>
      <c r="C47" s="9" t="s">
        <v>39</v>
      </c>
      <c r="D47" s="9" t="s">
        <v>43</v>
      </c>
      <c r="E47" s="9" t="s">
        <v>21</v>
      </c>
      <c r="F47" s="9" t="s">
        <v>22</v>
      </c>
      <c r="G47" s="12" t="str">
        <f>IF(K47&lt;J47,"NO PROSPERO POR UMBRAL",IF(K47&gt;J47,IF((K47&gt;I47)&gt;((O47*55%)+1),"PROSPERÓ REVOCATORIA"),"NO PROSPERO POR VOTACIÓN"))</f>
        <v>NO PROSPERO POR UMBRAL</v>
      </c>
      <c r="H47" s="12">
        <v>37051</v>
      </c>
      <c r="I47" s="12">
        <v>22762</v>
      </c>
      <c r="J47" s="12">
        <f t="shared" si="39"/>
        <v>12520</v>
      </c>
      <c r="K47" s="12">
        <v>6261</v>
      </c>
      <c r="L47" s="28">
        <f t="shared" si="27"/>
        <v>0.16898329329842648</v>
      </c>
      <c r="M47" s="12">
        <f t="shared" si="28"/>
        <v>30790</v>
      </c>
      <c r="N47" s="28">
        <f t="shared" si="29"/>
        <v>0.83101670670157346</v>
      </c>
      <c r="O47" s="12">
        <v>946</v>
      </c>
      <c r="P47" s="12">
        <v>70</v>
      </c>
      <c r="Q47" s="24" t="s">
        <v>242</v>
      </c>
      <c r="R47" s="24" t="s">
        <v>242</v>
      </c>
      <c r="S47" s="24" t="s">
        <v>242</v>
      </c>
      <c r="T47" s="23"/>
    </row>
    <row r="48" spans="1:20" s="15" customFormat="1" ht="32" x14ac:dyDescent="0.2">
      <c r="A48" s="9">
        <v>47</v>
      </c>
      <c r="B48" s="13">
        <v>38578</v>
      </c>
      <c r="C48" s="9" t="s">
        <v>237</v>
      </c>
      <c r="D48" s="9" t="s">
        <v>238</v>
      </c>
      <c r="E48" s="9" t="s">
        <v>21</v>
      </c>
      <c r="F48" s="9" t="s">
        <v>22</v>
      </c>
      <c r="G48" s="12" t="str">
        <f>IF(K48&lt;J48,"NO PROSPERO POR UMBRAL",IF(K48&gt;J48,IF((K48&gt;I48)&gt;((O48*55%)+1),"PROSPERÓ REVOCATORIA"),"NO PROSPERO POR VOTACIÓN"))</f>
        <v>NO PROSPERO POR UMBRAL</v>
      </c>
      <c r="H48" s="12">
        <v>3989</v>
      </c>
      <c r="I48" s="12">
        <v>2979</v>
      </c>
      <c r="J48" s="12">
        <f t="shared" si="39"/>
        <v>1639</v>
      </c>
      <c r="K48" s="12">
        <v>1637</v>
      </c>
      <c r="L48" s="28">
        <f t="shared" si="27"/>
        <v>0.4103785409877162</v>
      </c>
      <c r="M48" s="12">
        <f t="shared" si="28"/>
        <v>2352</v>
      </c>
      <c r="N48" s="28">
        <f t="shared" si="29"/>
        <v>0.5896214590122838</v>
      </c>
      <c r="O48" s="12">
        <v>793</v>
      </c>
      <c r="P48" s="12">
        <v>22</v>
      </c>
      <c r="Q48" s="24" t="s">
        <v>242</v>
      </c>
      <c r="R48" s="24" t="s">
        <v>242</v>
      </c>
      <c r="S48" s="24" t="s">
        <v>242</v>
      </c>
      <c r="T48" s="23"/>
    </row>
    <row r="49" spans="1:20" s="15" customFormat="1" ht="32" x14ac:dyDescent="0.2">
      <c r="A49" s="9">
        <v>48</v>
      </c>
      <c r="B49" s="13">
        <v>38571</v>
      </c>
      <c r="C49" s="9" t="s">
        <v>19</v>
      </c>
      <c r="D49" s="9" t="s">
        <v>239</v>
      </c>
      <c r="E49" s="9" t="s">
        <v>21</v>
      </c>
      <c r="F49" s="9" t="s">
        <v>22</v>
      </c>
      <c r="G49" s="12" t="s">
        <v>265</v>
      </c>
      <c r="H49" s="12">
        <v>1867</v>
      </c>
      <c r="I49" s="12">
        <v>401</v>
      </c>
      <c r="J49" s="12">
        <f t="shared" si="39"/>
        <v>221</v>
      </c>
      <c r="K49" s="12">
        <f>SUM(O49:S49)</f>
        <v>886</v>
      </c>
      <c r="L49" s="28">
        <f t="shared" si="27"/>
        <v>0.47455811462238884</v>
      </c>
      <c r="M49" s="12">
        <f t="shared" si="28"/>
        <v>981</v>
      </c>
      <c r="N49" s="28">
        <f t="shared" si="29"/>
        <v>0.52544188537761116</v>
      </c>
      <c r="O49" s="12">
        <v>240</v>
      </c>
      <c r="P49" s="12">
        <v>593</v>
      </c>
      <c r="Q49" s="12">
        <v>15</v>
      </c>
      <c r="R49" s="12">
        <v>3</v>
      </c>
      <c r="S49" s="12">
        <v>35</v>
      </c>
      <c r="T49" s="23"/>
    </row>
    <row r="50" spans="1:20" s="15" customFormat="1" ht="32" x14ac:dyDescent="0.2">
      <c r="A50" s="9">
        <v>49</v>
      </c>
      <c r="B50" s="13">
        <v>38564</v>
      </c>
      <c r="C50" s="9" t="s">
        <v>237</v>
      </c>
      <c r="D50" s="9" t="s">
        <v>241</v>
      </c>
      <c r="E50" s="9" t="s">
        <v>21</v>
      </c>
      <c r="F50" s="9" t="s">
        <v>22</v>
      </c>
      <c r="G50" s="12" t="str">
        <f t="shared" si="41"/>
        <v>NO PROSPERO POR UMBRAL</v>
      </c>
      <c r="H50" s="12">
        <v>9162</v>
      </c>
      <c r="I50" s="12">
        <v>5321</v>
      </c>
      <c r="J50" s="12">
        <f t="shared" si="39"/>
        <v>2927</v>
      </c>
      <c r="K50" s="12">
        <v>726</v>
      </c>
      <c r="L50" s="28">
        <f t="shared" si="27"/>
        <v>7.9240340537000659E-2</v>
      </c>
      <c r="M50" s="12">
        <f t="shared" si="28"/>
        <v>8436</v>
      </c>
      <c r="N50" s="28">
        <f t="shared" si="29"/>
        <v>0.92075965946299931</v>
      </c>
      <c r="O50" s="12">
        <v>672</v>
      </c>
      <c r="P50" s="12">
        <v>17</v>
      </c>
      <c r="Q50" s="24" t="s">
        <v>242</v>
      </c>
      <c r="R50" s="24" t="s">
        <v>242</v>
      </c>
      <c r="S50" s="24" t="s">
        <v>242</v>
      </c>
      <c r="T50" s="23"/>
    </row>
    <row r="51" spans="1:20" s="15" customFormat="1" ht="32" x14ac:dyDescent="0.2">
      <c r="A51" s="9">
        <v>50</v>
      </c>
      <c r="B51" s="13">
        <v>38536</v>
      </c>
      <c r="C51" s="9" t="s">
        <v>19</v>
      </c>
      <c r="D51" s="9" t="s">
        <v>236</v>
      </c>
      <c r="E51" s="9" t="s">
        <v>21</v>
      </c>
      <c r="F51" s="9" t="s">
        <v>22</v>
      </c>
      <c r="G51" s="12" t="str">
        <f>IF(K51&lt;J51,"NO PROSPERO POR UMBRAL",IF(K51&gt;J51,IF((K51&gt;I51)&gt;((O51*55%)+1),"PROSPERÓ REVOCATORIA"),"NO PROSPERO POR VOTACIÓN"))</f>
        <v>NO PROSPERO POR UMBRAL</v>
      </c>
      <c r="H51" s="12">
        <v>13609</v>
      </c>
      <c r="I51" s="12">
        <v>5640</v>
      </c>
      <c r="J51" s="12">
        <f t="shared" si="39"/>
        <v>3102</v>
      </c>
      <c r="K51" s="12">
        <v>1469</v>
      </c>
      <c r="L51" s="28">
        <f t="shared" si="27"/>
        <v>0.10794327283415386</v>
      </c>
      <c r="M51" s="12">
        <f t="shared" si="28"/>
        <v>12140</v>
      </c>
      <c r="N51" s="28">
        <f t="shared" si="29"/>
        <v>0.89205672716584616</v>
      </c>
      <c r="O51" s="12">
        <v>1353</v>
      </c>
      <c r="P51" s="12">
        <v>35</v>
      </c>
      <c r="Q51" s="24" t="s">
        <v>242</v>
      </c>
      <c r="R51" s="24" t="s">
        <v>242</v>
      </c>
      <c r="S51" s="24" t="s">
        <v>242</v>
      </c>
      <c r="T51" s="23"/>
    </row>
    <row r="52" spans="1:20" s="15" customFormat="1" ht="32" x14ac:dyDescent="0.2">
      <c r="A52" s="9">
        <v>51</v>
      </c>
      <c r="B52" s="13">
        <v>38494</v>
      </c>
      <c r="C52" s="9" t="s">
        <v>116</v>
      </c>
      <c r="D52" s="9" t="s">
        <v>121</v>
      </c>
      <c r="E52" s="9" t="s">
        <v>21</v>
      </c>
      <c r="F52" s="9" t="s">
        <v>22</v>
      </c>
      <c r="G52" s="12" t="str">
        <f>IF(K52&lt;J52,"NO PROSPERO POR UMBRAL",IF(K52&gt;J52,IF((K52&gt;I52)&gt;((O52*55%)+1),"PROSPERÓ REVOCATORIA"),"NO PROSPERO POR VOTACIÓN"))</f>
        <v>NO PROSPERO POR UMBRAL</v>
      </c>
      <c r="H52" s="12">
        <v>16068</v>
      </c>
      <c r="I52" s="12">
        <v>7554</v>
      </c>
      <c r="J52" s="12">
        <f t="shared" si="39"/>
        <v>4155</v>
      </c>
      <c r="K52" s="12">
        <v>3940</v>
      </c>
      <c r="L52" s="28">
        <f t="shared" si="27"/>
        <v>0.24520786656708987</v>
      </c>
      <c r="M52" s="12">
        <f t="shared" si="28"/>
        <v>12128</v>
      </c>
      <c r="N52" s="28">
        <f t="shared" si="29"/>
        <v>0.75479213343291018</v>
      </c>
      <c r="O52" s="12">
        <v>3470</v>
      </c>
      <c r="P52" s="12">
        <v>107</v>
      </c>
      <c r="Q52" s="24" t="s">
        <v>242</v>
      </c>
      <c r="R52" s="24" t="s">
        <v>242</v>
      </c>
      <c r="S52" s="24" t="s">
        <v>242</v>
      </c>
      <c r="T52" s="23"/>
    </row>
    <row r="53" spans="1:20" s="15" customFormat="1" ht="32" x14ac:dyDescent="0.2">
      <c r="A53" s="9">
        <v>52</v>
      </c>
      <c r="B53" s="13">
        <v>38466</v>
      </c>
      <c r="C53" s="9" t="s">
        <v>19</v>
      </c>
      <c r="D53" s="9" t="s">
        <v>235</v>
      </c>
      <c r="E53" s="9" t="s">
        <v>21</v>
      </c>
      <c r="F53" s="9" t="s">
        <v>22</v>
      </c>
      <c r="G53" s="12" t="str">
        <f>IF(K53&lt;J53,"NO PROSPERO POR UMBRAL",IF(K53&gt;J53,IF((K53&gt;I53)&gt;((O53*55%)+1),"PROSPERÓ REVOCATORIA"),"NO PROSPERO POR VOTACIÓN"))</f>
        <v>NO PROSPERO POR UMBRAL</v>
      </c>
      <c r="H53" s="12">
        <v>13089</v>
      </c>
      <c r="I53" s="12">
        <v>6797</v>
      </c>
      <c r="J53" s="12">
        <f t="shared" si="39"/>
        <v>3739</v>
      </c>
      <c r="K53" s="12">
        <f>SUM(O53:S53)</f>
        <v>1871</v>
      </c>
      <c r="L53" s="28">
        <f t="shared" si="27"/>
        <v>0.14294445717778287</v>
      </c>
      <c r="M53" s="12">
        <f t="shared" si="28"/>
        <v>11218</v>
      </c>
      <c r="N53" s="28">
        <f t="shared" si="29"/>
        <v>0.85705554282221708</v>
      </c>
      <c r="O53" s="12">
        <v>1749</v>
      </c>
      <c r="P53" s="12">
        <v>80</v>
      </c>
      <c r="Q53" s="12">
        <v>5</v>
      </c>
      <c r="R53" s="12">
        <v>20</v>
      </c>
      <c r="S53" s="12">
        <v>17</v>
      </c>
    </row>
    <row r="54" spans="1:20" s="15" customFormat="1" ht="32" x14ac:dyDescent="0.2">
      <c r="A54" s="9">
        <v>53</v>
      </c>
      <c r="B54" s="13">
        <v>38466</v>
      </c>
      <c r="C54" s="9" t="s">
        <v>32</v>
      </c>
      <c r="D54" s="9" t="s">
        <v>240</v>
      </c>
      <c r="E54" s="9" t="s">
        <v>21</v>
      </c>
      <c r="F54" s="9" t="s">
        <v>22</v>
      </c>
      <c r="G54" s="12" t="str">
        <f>IF(K54&lt;J54,"NO PROSPERO POR UMBRAL",IF(K54&gt;J54,IF((K54&gt;I54)&gt;((O54*55%)+1),"PROSPERÓ REVOCATORIA"),"NO PROSPERO POR VOTACIÓN"))</f>
        <v>NO PROSPERO POR UMBRAL</v>
      </c>
      <c r="H54" s="12">
        <v>6300</v>
      </c>
      <c r="I54" s="12">
        <v>3556</v>
      </c>
      <c r="J54" s="12">
        <f t="shared" si="39"/>
        <v>1956</v>
      </c>
      <c r="K54" s="12">
        <v>1436</v>
      </c>
      <c r="L54" s="28">
        <f t="shared" si="27"/>
        <v>0.22793650793650794</v>
      </c>
      <c r="M54" s="12">
        <f t="shared" si="28"/>
        <v>4864</v>
      </c>
      <c r="N54" s="28">
        <f t="shared" si="29"/>
        <v>0.77206349206349212</v>
      </c>
      <c r="O54" s="12">
        <v>1369</v>
      </c>
      <c r="P54" s="12">
        <v>22</v>
      </c>
      <c r="Q54" s="24" t="s">
        <v>242</v>
      </c>
      <c r="R54" s="24" t="s">
        <v>242</v>
      </c>
      <c r="S54" s="24" t="s">
        <v>242</v>
      </c>
    </row>
    <row r="55" spans="1:20" s="15" customFormat="1" ht="32" x14ac:dyDescent="0.2">
      <c r="A55" s="9">
        <v>54</v>
      </c>
      <c r="B55" s="13">
        <v>37822</v>
      </c>
      <c r="C55" s="9" t="s">
        <v>98</v>
      </c>
      <c r="D55" s="9" t="s">
        <v>231</v>
      </c>
      <c r="E55" s="17" t="s">
        <v>21</v>
      </c>
      <c r="F55" s="9" t="s">
        <v>22</v>
      </c>
      <c r="G55" s="12" t="str">
        <f>IF(K55&lt;J55,"NO PROSPERO POR UMBRAL",IF(K55&gt;J55,IF((K55&gt;I55)&gt;((O55*55%)+1),"PROSPERÓ REVOCATORIA"),"NO PROSPERO POR VOTACIÓN"))</f>
        <v>NO PROSPERO POR UMBRAL</v>
      </c>
      <c r="H55" s="12">
        <v>6343</v>
      </c>
      <c r="I55" s="12">
        <v>3399</v>
      </c>
      <c r="J55" s="12">
        <f t="shared" si="39"/>
        <v>1870</v>
      </c>
      <c r="K55" s="12">
        <v>947</v>
      </c>
      <c r="L55" s="28">
        <f t="shared" si="27"/>
        <v>0.1492984392243418</v>
      </c>
      <c r="M55" s="12">
        <f t="shared" si="28"/>
        <v>5396</v>
      </c>
      <c r="N55" s="28">
        <f t="shared" si="29"/>
        <v>0.85070156077565817</v>
      </c>
      <c r="O55" s="24" t="s">
        <v>242</v>
      </c>
      <c r="P55" s="24" t="s">
        <v>242</v>
      </c>
      <c r="Q55" s="24" t="s">
        <v>242</v>
      </c>
      <c r="R55" s="24" t="s">
        <v>242</v>
      </c>
      <c r="S55" s="24" t="s">
        <v>242</v>
      </c>
    </row>
    <row r="56" spans="1:20" s="15" customFormat="1" ht="32" x14ac:dyDescent="0.2">
      <c r="A56" s="9">
        <v>55</v>
      </c>
      <c r="B56" s="13">
        <v>37815</v>
      </c>
      <c r="C56" s="9" t="s">
        <v>203</v>
      </c>
      <c r="D56" s="9" t="s">
        <v>230</v>
      </c>
      <c r="E56" s="17" t="s">
        <v>21</v>
      </c>
      <c r="F56" s="9" t="s">
        <v>22</v>
      </c>
      <c r="G56" s="12" t="str">
        <f t="shared" si="41"/>
        <v>NO PROSPERO POR VOTACIÓN</v>
      </c>
      <c r="H56" s="12">
        <v>34584</v>
      </c>
      <c r="I56" s="12">
        <v>15126</v>
      </c>
      <c r="J56" s="12">
        <f t="shared" si="39"/>
        <v>8320</v>
      </c>
      <c r="K56" s="24" t="s">
        <v>242</v>
      </c>
      <c r="L56" s="24" t="s">
        <v>242</v>
      </c>
      <c r="M56" s="24" t="s">
        <v>242</v>
      </c>
      <c r="N56" s="24" t="s">
        <v>242</v>
      </c>
      <c r="O56" s="24" t="s">
        <v>242</v>
      </c>
      <c r="P56" s="24" t="s">
        <v>242</v>
      </c>
      <c r="Q56" s="24" t="s">
        <v>242</v>
      </c>
      <c r="R56" s="24" t="s">
        <v>242</v>
      </c>
      <c r="S56" s="24" t="s">
        <v>242</v>
      </c>
    </row>
    <row r="57" spans="1:20" s="15" customFormat="1" ht="32" x14ac:dyDescent="0.2">
      <c r="A57" s="9">
        <v>56</v>
      </c>
      <c r="B57" s="13">
        <v>37808</v>
      </c>
      <c r="C57" s="9" t="s">
        <v>184</v>
      </c>
      <c r="D57" s="9" t="s">
        <v>185</v>
      </c>
      <c r="E57" s="17" t="s">
        <v>21</v>
      </c>
      <c r="F57" s="9" t="s">
        <v>22</v>
      </c>
      <c r="G57" s="12" t="str">
        <f t="shared" si="41"/>
        <v>NO PROSPERO POR VOTACIÓN</v>
      </c>
      <c r="H57" s="12">
        <v>34423</v>
      </c>
      <c r="I57" s="12">
        <v>21282</v>
      </c>
      <c r="J57" s="12">
        <f t="shared" si="39"/>
        <v>11706</v>
      </c>
      <c r="K57" s="24" t="s">
        <v>242</v>
      </c>
      <c r="L57" s="24" t="s">
        <v>242</v>
      </c>
      <c r="M57" s="24" t="s">
        <v>242</v>
      </c>
      <c r="N57" s="24" t="s">
        <v>242</v>
      </c>
      <c r="O57" s="24" t="s">
        <v>242</v>
      </c>
      <c r="P57" s="24" t="s">
        <v>242</v>
      </c>
      <c r="Q57" s="24" t="s">
        <v>242</v>
      </c>
      <c r="R57" s="24" t="s">
        <v>242</v>
      </c>
      <c r="S57" s="24" t="s">
        <v>242</v>
      </c>
    </row>
    <row r="58" spans="1:20" s="15" customFormat="1" ht="32" x14ac:dyDescent="0.2">
      <c r="A58" s="9">
        <v>57</v>
      </c>
      <c r="B58" s="13">
        <v>37787</v>
      </c>
      <c r="C58" s="9" t="s">
        <v>39</v>
      </c>
      <c r="D58" s="9" t="s">
        <v>40</v>
      </c>
      <c r="E58" s="9" t="s">
        <v>21</v>
      </c>
      <c r="F58" s="9" t="s">
        <v>22</v>
      </c>
      <c r="G58" s="12" t="str">
        <f t="shared" ref="G58:G70" si="42">IF(K58&lt;J58,"NO PROSPERO POR UMBRAL",IF(K58&gt;J58,IF((K58&gt;I58)&gt;((O58*55%)+1),"PROSPERÓ REVOCATORIA"),"NO PROSPERO POR VOTACIÓN"))</f>
        <v>NO PROSPERO POR UMBRAL</v>
      </c>
      <c r="H58" s="12">
        <v>43950</v>
      </c>
      <c r="I58" s="12">
        <v>30612</v>
      </c>
      <c r="J58" s="12">
        <f t="shared" si="39"/>
        <v>16837</v>
      </c>
      <c r="K58" s="12">
        <v>8253</v>
      </c>
      <c r="L58" s="28">
        <f t="shared" si="27"/>
        <v>0.18778156996587031</v>
      </c>
      <c r="M58" s="12">
        <f t="shared" ref="M58:M70" si="43">H58-K58</f>
        <v>35697</v>
      </c>
      <c r="N58" s="28">
        <f t="shared" ref="N58:N70" si="44">M58/H58</f>
        <v>0.81221843003412975</v>
      </c>
      <c r="O58" s="24" t="s">
        <v>242</v>
      </c>
      <c r="P58" s="24" t="s">
        <v>242</v>
      </c>
      <c r="Q58" s="24" t="s">
        <v>242</v>
      </c>
      <c r="R58" s="24" t="s">
        <v>242</v>
      </c>
      <c r="S58" s="24" t="s">
        <v>242</v>
      </c>
    </row>
    <row r="59" spans="1:20" s="15" customFormat="1" ht="32" x14ac:dyDescent="0.2">
      <c r="A59" s="9">
        <v>58</v>
      </c>
      <c r="B59" s="13">
        <v>37703</v>
      </c>
      <c r="C59" s="9" t="s">
        <v>19</v>
      </c>
      <c r="D59" s="9" t="s">
        <v>229</v>
      </c>
      <c r="E59" s="9" t="s">
        <v>21</v>
      </c>
      <c r="F59" s="9" t="s">
        <v>22</v>
      </c>
      <c r="G59" s="12" t="str">
        <f t="shared" si="42"/>
        <v>NO PROSPERO POR UMBRAL</v>
      </c>
      <c r="H59" s="12">
        <v>4231</v>
      </c>
      <c r="I59" s="12">
        <v>2318</v>
      </c>
      <c r="J59" s="12">
        <f t="shared" si="39"/>
        <v>1275</v>
      </c>
      <c r="K59" s="12">
        <v>1268</v>
      </c>
      <c r="L59" s="28">
        <f t="shared" si="27"/>
        <v>0.29969274403214369</v>
      </c>
      <c r="M59" s="12">
        <f t="shared" si="43"/>
        <v>2963</v>
      </c>
      <c r="N59" s="28">
        <f t="shared" si="44"/>
        <v>0.70030725596785626</v>
      </c>
      <c r="O59" s="24" t="s">
        <v>242</v>
      </c>
      <c r="P59" s="24" t="s">
        <v>242</v>
      </c>
      <c r="Q59" s="24" t="s">
        <v>242</v>
      </c>
      <c r="R59" s="24" t="s">
        <v>242</v>
      </c>
      <c r="S59" s="24" t="s">
        <v>242</v>
      </c>
    </row>
    <row r="60" spans="1:20" s="15" customFormat="1" ht="32" x14ac:dyDescent="0.2">
      <c r="A60" s="9">
        <v>59</v>
      </c>
      <c r="B60" s="13">
        <v>36814</v>
      </c>
      <c r="C60" s="9" t="s">
        <v>39</v>
      </c>
      <c r="D60" s="9" t="s">
        <v>49</v>
      </c>
      <c r="E60" s="9" t="s">
        <v>21</v>
      </c>
      <c r="F60" s="9" t="s">
        <v>22</v>
      </c>
      <c r="G60" s="12" t="str">
        <f t="shared" si="42"/>
        <v>NO PROSPERO POR UMBRAL</v>
      </c>
      <c r="H60" s="12">
        <v>8052</v>
      </c>
      <c r="I60" s="12">
        <v>5857</v>
      </c>
      <c r="J60" s="12">
        <f t="shared" ref="J60:J70" si="45">ROUNDUP(I60*60%,0)</f>
        <v>3515</v>
      </c>
      <c r="K60" s="12">
        <v>1530</v>
      </c>
      <c r="L60" s="28">
        <f t="shared" si="27"/>
        <v>0.19001490312965721</v>
      </c>
      <c r="M60" s="12">
        <f t="shared" si="43"/>
        <v>6522</v>
      </c>
      <c r="N60" s="28">
        <f t="shared" si="44"/>
        <v>0.80998509687034281</v>
      </c>
      <c r="O60" s="12">
        <v>1429</v>
      </c>
      <c r="P60" s="12">
        <v>65</v>
      </c>
      <c r="Q60" s="24" t="s">
        <v>242</v>
      </c>
      <c r="R60" s="24" t="s">
        <v>242</v>
      </c>
      <c r="S60" s="24" t="s">
        <v>242</v>
      </c>
    </row>
    <row r="61" spans="1:20" s="15" customFormat="1" ht="32" x14ac:dyDescent="0.2">
      <c r="A61" s="9">
        <v>60</v>
      </c>
      <c r="B61" s="13">
        <v>36590</v>
      </c>
      <c r="C61" s="9" t="s">
        <v>227</v>
      </c>
      <c r="D61" s="9" t="s">
        <v>228</v>
      </c>
      <c r="E61" s="9" t="s">
        <v>21</v>
      </c>
      <c r="F61" s="9" t="s">
        <v>22</v>
      </c>
      <c r="G61" s="12" t="str">
        <f t="shared" si="42"/>
        <v>NO PROSPERO POR UMBRAL</v>
      </c>
      <c r="H61" s="12">
        <v>2167</v>
      </c>
      <c r="I61" s="12">
        <v>646</v>
      </c>
      <c r="J61" s="12">
        <f t="shared" si="45"/>
        <v>388</v>
      </c>
      <c r="K61" s="12">
        <v>151</v>
      </c>
      <c r="L61" s="28">
        <f t="shared" si="27"/>
        <v>6.9681587448084906E-2</v>
      </c>
      <c r="M61" s="12">
        <f t="shared" si="43"/>
        <v>2016</v>
      </c>
      <c r="N61" s="28">
        <f t="shared" si="44"/>
        <v>0.93031841255191505</v>
      </c>
      <c r="O61" s="12">
        <v>132</v>
      </c>
      <c r="P61" s="12">
        <v>11</v>
      </c>
      <c r="Q61" s="24" t="s">
        <v>242</v>
      </c>
      <c r="R61" s="24" t="s">
        <v>242</v>
      </c>
      <c r="S61" s="24" t="s">
        <v>242</v>
      </c>
    </row>
    <row r="62" spans="1:20" s="15" customFormat="1" ht="32" x14ac:dyDescent="0.2">
      <c r="A62" s="9">
        <v>61</v>
      </c>
      <c r="B62" s="13">
        <v>36534</v>
      </c>
      <c r="C62" s="9" t="s">
        <v>116</v>
      </c>
      <c r="D62" s="9" t="s">
        <v>117</v>
      </c>
      <c r="E62" s="9" t="s">
        <v>21</v>
      </c>
      <c r="F62" s="9" t="s">
        <v>22</v>
      </c>
      <c r="G62" s="12" t="str">
        <f t="shared" si="42"/>
        <v>NO PROSPERO POR UMBRAL</v>
      </c>
      <c r="H62" s="12">
        <v>36377</v>
      </c>
      <c r="I62" s="12">
        <v>18997</v>
      </c>
      <c r="J62" s="12">
        <f t="shared" si="45"/>
        <v>11399</v>
      </c>
      <c r="K62" s="12">
        <v>4304</v>
      </c>
      <c r="L62" s="28">
        <f t="shared" si="27"/>
        <v>0.11831651867938532</v>
      </c>
      <c r="M62" s="12">
        <f t="shared" si="43"/>
        <v>32073</v>
      </c>
      <c r="N62" s="28">
        <f t="shared" si="44"/>
        <v>0.88168348132061469</v>
      </c>
      <c r="O62" s="12">
        <v>3993</v>
      </c>
      <c r="P62" s="12">
        <v>95</v>
      </c>
      <c r="Q62" s="24" t="s">
        <v>242</v>
      </c>
      <c r="R62" s="24" t="s">
        <v>242</v>
      </c>
      <c r="S62" s="24" t="s">
        <v>242</v>
      </c>
    </row>
    <row r="63" spans="1:20" s="15" customFormat="1" ht="32" x14ac:dyDescent="0.2">
      <c r="A63" s="9">
        <v>62</v>
      </c>
      <c r="B63" s="13">
        <v>36415</v>
      </c>
      <c r="C63" s="9" t="s">
        <v>19</v>
      </c>
      <c r="D63" s="10" t="s">
        <v>226</v>
      </c>
      <c r="E63" s="9" t="s">
        <v>21</v>
      </c>
      <c r="F63" s="9" t="s">
        <v>22</v>
      </c>
      <c r="G63" s="12" t="str">
        <f t="shared" si="42"/>
        <v>NO PROSPERO POR UMBRAL</v>
      </c>
      <c r="H63" s="12">
        <v>12533</v>
      </c>
      <c r="I63" s="12">
        <v>2322</v>
      </c>
      <c r="J63" s="12">
        <f t="shared" si="45"/>
        <v>1394</v>
      </c>
      <c r="K63" s="12">
        <v>410</v>
      </c>
      <c r="L63" s="28">
        <f t="shared" si="27"/>
        <v>3.2713636000957474E-2</v>
      </c>
      <c r="M63" s="12">
        <f t="shared" si="43"/>
        <v>12123</v>
      </c>
      <c r="N63" s="28">
        <f t="shared" si="44"/>
        <v>0.96728636399904255</v>
      </c>
      <c r="O63" s="12">
        <v>376</v>
      </c>
      <c r="P63" s="12">
        <v>11</v>
      </c>
      <c r="Q63" s="24" t="s">
        <v>242</v>
      </c>
      <c r="R63" s="24" t="s">
        <v>242</v>
      </c>
      <c r="S63" s="24" t="s">
        <v>242</v>
      </c>
    </row>
    <row r="64" spans="1:20" s="15" customFormat="1" ht="32" x14ac:dyDescent="0.2">
      <c r="A64" s="9">
        <v>63</v>
      </c>
      <c r="B64" s="13">
        <v>36401</v>
      </c>
      <c r="C64" s="9" t="s">
        <v>94</v>
      </c>
      <c r="D64" s="10" t="s">
        <v>95</v>
      </c>
      <c r="E64" s="9" t="s">
        <v>21</v>
      </c>
      <c r="F64" s="9" t="s">
        <v>22</v>
      </c>
      <c r="G64" s="12" t="str">
        <f t="shared" si="42"/>
        <v>NO PROSPERO POR UMBRAL</v>
      </c>
      <c r="H64" s="12">
        <v>7657</v>
      </c>
      <c r="I64" s="12">
        <v>4838</v>
      </c>
      <c r="J64" s="12">
        <f t="shared" si="45"/>
        <v>2903</v>
      </c>
      <c r="K64" s="12">
        <v>869</v>
      </c>
      <c r="L64" s="28">
        <f t="shared" si="27"/>
        <v>0.11349092333812198</v>
      </c>
      <c r="M64" s="12">
        <f t="shared" si="43"/>
        <v>6788</v>
      </c>
      <c r="N64" s="28">
        <f t="shared" si="44"/>
        <v>0.88650907666187806</v>
      </c>
      <c r="O64" s="12">
        <v>804</v>
      </c>
      <c r="P64" s="12">
        <v>25</v>
      </c>
      <c r="Q64" s="24" t="s">
        <v>242</v>
      </c>
      <c r="R64" s="24" t="s">
        <v>242</v>
      </c>
      <c r="S64" s="24" t="s">
        <v>242</v>
      </c>
    </row>
    <row r="65" spans="1:19" s="15" customFormat="1" ht="32" x14ac:dyDescent="0.2">
      <c r="A65" s="9">
        <v>64</v>
      </c>
      <c r="B65" s="13">
        <v>36338</v>
      </c>
      <c r="C65" s="9" t="s">
        <v>19</v>
      </c>
      <c r="D65" s="10" t="s">
        <v>225</v>
      </c>
      <c r="E65" s="9" t="s">
        <v>21</v>
      </c>
      <c r="F65" s="9" t="s">
        <v>22</v>
      </c>
      <c r="G65" s="12" t="str">
        <f t="shared" si="42"/>
        <v>NO PROSPERO POR UMBRAL</v>
      </c>
      <c r="H65" s="12">
        <v>11292</v>
      </c>
      <c r="I65" s="12">
        <v>118</v>
      </c>
      <c r="J65" s="12">
        <f t="shared" si="45"/>
        <v>71</v>
      </c>
      <c r="K65" s="12">
        <v>59</v>
      </c>
      <c r="L65" s="28">
        <f t="shared" si="27"/>
        <v>5.2249380092100599E-3</v>
      </c>
      <c r="M65" s="12">
        <f t="shared" si="43"/>
        <v>11233</v>
      </c>
      <c r="N65" s="28">
        <f t="shared" si="44"/>
        <v>0.99477506199078991</v>
      </c>
      <c r="O65" s="12">
        <v>51</v>
      </c>
      <c r="P65" s="12">
        <v>6</v>
      </c>
      <c r="Q65" s="24" t="s">
        <v>242</v>
      </c>
      <c r="R65" s="24" t="s">
        <v>242</v>
      </c>
      <c r="S65" s="24" t="s">
        <v>242</v>
      </c>
    </row>
    <row r="66" spans="1:19" s="15" customFormat="1" ht="32" x14ac:dyDescent="0.2">
      <c r="A66" s="9">
        <v>65</v>
      </c>
      <c r="B66" s="13">
        <v>35309</v>
      </c>
      <c r="C66" s="9" t="s">
        <v>152</v>
      </c>
      <c r="D66" s="9" t="s">
        <v>224</v>
      </c>
      <c r="E66" s="9" t="s">
        <v>21</v>
      </c>
      <c r="F66" s="9" t="s">
        <v>22</v>
      </c>
      <c r="G66" s="12" t="str">
        <f t="shared" si="42"/>
        <v>NO PROSPERO POR UMBRAL</v>
      </c>
      <c r="H66" s="12">
        <v>7971</v>
      </c>
      <c r="I66" s="12">
        <v>6059</v>
      </c>
      <c r="J66" s="12">
        <f t="shared" si="45"/>
        <v>3636</v>
      </c>
      <c r="K66" s="12">
        <v>1628</v>
      </c>
      <c r="L66" s="28">
        <f t="shared" si="27"/>
        <v>0.20424037134612971</v>
      </c>
      <c r="M66" s="12">
        <f t="shared" si="43"/>
        <v>6343</v>
      </c>
      <c r="N66" s="28">
        <f t="shared" si="44"/>
        <v>0.79575962865387029</v>
      </c>
      <c r="O66" s="24" t="s">
        <v>242</v>
      </c>
      <c r="P66" s="24" t="s">
        <v>242</v>
      </c>
      <c r="Q66" s="24" t="s">
        <v>242</v>
      </c>
      <c r="R66" s="24" t="s">
        <v>242</v>
      </c>
      <c r="S66" s="24" t="s">
        <v>242</v>
      </c>
    </row>
    <row r="67" spans="1:19" s="15" customFormat="1" ht="32" x14ac:dyDescent="0.2">
      <c r="A67" s="9">
        <v>66</v>
      </c>
      <c r="B67" s="13">
        <v>35267</v>
      </c>
      <c r="C67" s="9" t="s">
        <v>39</v>
      </c>
      <c r="D67" s="9" t="s">
        <v>56</v>
      </c>
      <c r="E67" s="9" t="s">
        <v>21</v>
      </c>
      <c r="F67" s="9" t="s">
        <v>22</v>
      </c>
      <c r="G67" s="12" t="str">
        <f t="shared" si="42"/>
        <v>NO PROSPERO POR UMBRAL</v>
      </c>
      <c r="H67" s="12">
        <v>4499</v>
      </c>
      <c r="I67" s="12">
        <v>3409</v>
      </c>
      <c r="J67" s="12">
        <f t="shared" si="45"/>
        <v>2046</v>
      </c>
      <c r="K67" s="12">
        <v>954</v>
      </c>
      <c r="L67" s="28">
        <f t="shared" si="27"/>
        <v>0.21204712158257391</v>
      </c>
      <c r="M67" s="12">
        <f t="shared" si="43"/>
        <v>3545</v>
      </c>
      <c r="N67" s="28">
        <f t="shared" si="44"/>
        <v>0.78795287841742612</v>
      </c>
      <c r="O67" s="24" t="s">
        <v>242</v>
      </c>
      <c r="P67" s="24" t="s">
        <v>242</v>
      </c>
      <c r="Q67" s="24" t="s">
        <v>242</v>
      </c>
      <c r="R67" s="24" t="s">
        <v>242</v>
      </c>
      <c r="S67" s="24" t="s">
        <v>242</v>
      </c>
    </row>
    <row r="68" spans="1:19" ht="32" x14ac:dyDescent="0.2">
      <c r="A68" s="9">
        <v>67</v>
      </c>
      <c r="B68" s="13">
        <v>35225</v>
      </c>
      <c r="C68" s="9" t="s">
        <v>32</v>
      </c>
      <c r="D68" s="9" t="s">
        <v>223</v>
      </c>
      <c r="E68" s="9" t="s">
        <v>21</v>
      </c>
      <c r="F68" s="9" t="s">
        <v>22</v>
      </c>
      <c r="G68" s="12" t="str">
        <f t="shared" si="42"/>
        <v>NO PROSPERO POR UMBRAL</v>
      </c>
      <c r="H68" s="12">
        <v>11134</v>
      </c>
      <c r="I68" s="12">
        <v>7072</v>
      </c>
      <c r="J68" s="12">
        <f t="shared" si="45"/>
        <v>4244</v>
      </c>
      <c r="K68" s="12">
        <v>1823</v>
      </c>
      <c r="L68" s="28">
        <f t="shared" si="27"/>
        <v>0.16373271061613076</v>
      </c>
      <c r="M68" s="12">
        <f t="shared" si="43"/>
        <v>9311</v>
      </c>
      <c r="N68" s="28">
        <f t="shared" si="44"/>
        <v>0.83626728938386918</v>
      </c>
      <c r="O68" s="24" t="s">
        <v>242</v>
      </c>
      <c r="P68" s="24" t="s">
        <v>242</v>
      </c>
      <c r="Q68" s="24" t="s">
        <v>242</v>
      </c>
      <c r="R68" s="24" t="s">
        <v>242</v>
      </c>
      <c r="S68" s="24" t="s">
        <v>242</v>
      </c>
    </row>
    <row r="69" spans="1:19" ht="32" x14ac:dyDescent="0.2">
      <c r="A69" s="9">
        <v>68</v>
      </c>
      <c r="B69" s="13">
        <v>35218</v>
      </c>
      <c r="C69" s="9" t="s">
        <v>39</v>
      </c>
      <c r="D69" s="9" t="s">
        <v>54</v>
      </c>
      <c r="E69" s="9" t="s">
        <v>21</v>
      </c>
      <c r="F69" s="9" t="s">
        <v>22</v>
      </c>
      <c r="G69" s="12" t="str">
        <f t="shared" si="42"/>
        <v>NO PROSPERO POR UMBRAL</v>
      </c>
      <c r="H69" s="12">
        <v>16966</v>
      </c>
      <c r="I69" s="12">
        <v>9523</v>
      </c>
      <c r="J69" s="12">
        <f t="shared" si="45"/>
        <v>5714</v>
      </c>
      <c r="K69" s="12">
        <v>2341</v>
      </c>
      <c r="L69" s="28">
        <f t="shared" si="27"/>
        <v>0.13798184604503125</v>
      </c>
      <c r="M69" s="12">
        <f t="shared" si="43"/>
        <v>14625</v>
      </c>
      <c r="N69" s="28">
        <f t="shared" si="44"/>
        <v>0.86201815395496872</v>
      </c>
      <c r="O69" s="24" t="s">
        <v>242</v>
      </c>
      <c r="P69" s="24" t="s">
        <v>242</v>
      </c>
      <c r="Q69" s="24" t="s">
        <v>242</v>
      </c>
      <c r="R69" s="24" t="s">
        <v>242</v>
      </c>
      <c r="S69" s="24" t="s">
        <v>242</v>
      </c>
    </row>
    <row r="70" spans="1:19" ht="32" x14ac:dyDescent="0.2">
      <c r="A70" s="9">
        <v>69</v>
      </c>
      <c r="B70" s="13">
        <v>35190</v>
      </c>
      <c r="C70" s="9" t="s">
        <v>73</v>
      </c>
      <c r="D70" s="9" t="s">
        <v>75</v>
      </c>
      <c r="E70" s="9" t="s">
        <v>21</v>
      </c>
      <c r="F70" s="9" t="s">
        <v>22</v>
      </c>
      <c r="G70" s="12" t="str">
        <f t="shared" si="42"/>
        <v>NO PROSPERO POR UMBRAL</v>
      </c>
      <c r="H70" s="12">
        <v>1775</v>
      </c>
      <c r="I70" s="12">
        <v>769</v>
      </c>
      <c r="J70" s="12">
        <f t="shared" si="45"/>
        <v>462</v>
      </c>
      <c r="K70" s="12">
        <v>235</v>
      </c>
      <c r="L70" s="28">
        <f t="shared" si="27"/>
        <v>0.13239436619718309</v>
      </c>
      <c r="M70" s="12">
        <f t="shared" si="43"/>
        <v>1540</v>
      </c>
      <c r="N70" s="28">
        <f t="shared" si="44"/>
        <v>0.86760563380281686</v>
      </c>
      <c r="O70" s="24" t="s">
        <v>242</v>
      </c>
      <c r="P70" s="24" t="s">
        <v>242</v>
      </c>
      <c r="Q70" s="24" t="s">
        <v>242</v>
      </c>
      <c r="R70" s="24" t="s">
        <v>242</v>
      </c>
      <c r="S70" s="24" t="s">
        <v>242</v>
      </c>
    </row>
  </sheetData>
  <autoFilter ref="A1:S70" xr:uid="{00000000-0009-0000-0000-000001000000}"/>
  <sortState xmlns:xlrd2="http://schemas.microsoft.com/office/spreadsheetml/2017/richdata2" ref="C3:R51">
    <sortCondition ref="C3:C51"/>
    <sortCondition ref="D3:D51"/>
  </sortState>
  <printOptions horizontalCentered="1"/>
  <pageMargins left="0.39370078740157483" right="0.39370078740157483" top="1.6535433070866143" bottom="0.39370078740157483" header="0.39370078740157483" footer="0"/>
  <pageSetup scale="60" orientation="landscape" r:id="rId1"/>
  <headerFooter>
    <oddHeader>&amp;L&amp;G&amp;C&amp;"-,Negrita"&amp;12
&amp;16HISTÓRICO MECANISMOS DE PARTICIPACIÓN
REVOCATORIAS DE MANDATO DESDE 1996 HASTA 2017&amp;12
&amp;R&amp;"-,Negrita"&amp;10
PÁGINA &amp;P DE &amp;N</oddHeader>
    <oddFooter>&amp;L&amp;"-,Negrita"&amp;10Elaborado:&amp;"-,Normal" Oscar Eduardo Munar Flórez&amp;C&amp;"-,Negrita"&amp;10Registraduría Delegada en lo Electoral - Dirección de Gestión Electoral&amp;R&amp;"-,Negrita"&amp;10&amp;D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MECANISMOS</vt:lpstr>
      <vt:lpstr>HISTÓRICO</vt:lpstr>
      <vt:lpstr>MECANISMOS!_FilterDatabase</vt:lpstr>
      <vt:lpstr>HISTÓRICO!Área_de_impresión</vt:lpstr>
      <vt:lpstr>HISTÓRICO!Títulos_a_imprimir</vt:lpstr>
      <vt:lpstr>MECANISMOS!Títulos_a_imprimir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Munar Florez</dc:creator>
  <cp:lastModifiedBy>Oscar Ivan Londoño Pardo</cp:lastModifiedBy>
  <cp:lastPrinted>2017-05-15T12:43:03Z</cp:lastPrinted>
  <dcterms:created xsi:type="dcterms:W3CDTF">2017-01-03T15:44:46Z</dcterms:created>
  <dcterms:modified xsi:type="dcterms:W3CDTF">2021-09-08T16:54:45Z</dcterms:modified>
</cp:coreProperties>
</file>